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D\#Connectra\01_Imtithal_Toolkits_امتثال\Service excellence — and CX - 23592-2021\04_مؤشرات_الأداء_KPI\"/>
    </mc:Choice>
  </mc:AlternateContent>
  <xr:revisionPtr revIDLastSave="0" documentId="13_ncr:1_{97F69936-E864-4192-9688-19502106DF58}" xr6:coauthVersionLast="47" xr6:coauthVersionMax="47" xr10:uidLastSave="{00000000-0000-0000-0000-000000000000}"/>
  <bookViews>
    <workbookView xWindow="-110" yWindow="-110" windowWidth="25820" windowHeight="15500" activeTab="2" xr2:uid="{00000000-000D-0000-FFFF-FFFF00000000}"/>
  </bookViews>
  <sheets>
    <sheet name="الغلاف" sheetId="1" r:id="rId1"/>
    <sheet name="منهجية القياس" sheetId="2" r:id="rId2"/>
    <sheet name="سجل المؤشرات" sheetId="3" r:id="rId3"/>
    <sheet name="سجل القراءات" sheetId="4" r:id="rId4"/>
    <sheet name="بطاقة المؤشر" sheetId="5" r:id="rId5"/>
    <sheet name="لوحة المؤشرات" sheetId="6" r:id="rId6"/>
  </sheets>
  <definedNames>
    <definedName name="_xlnm._FilterDatabase" localSheetId="3" hidden="1">'سجل القراءات'!$A$3:$K$35</definedName>
    <definedName name="_xlnm._FilterDatabase" localSheetId="2" hidden="1">'سجل المؤشرات'!$A$5:$AA$21</definedName>
    <definedName name="_xlnm.Print_Area" localSheetId="4">'بطاقة المؤشر'!$A$1:$H$35</definedName>
    <definedName name="_xlnm.Print_Area" localSheetId="5">'لوحة المؤشرات'!$A$1:$I$41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7" i="6" l="1"/>
  <c r="E37" i="6"/>
  <c r="C37" i="6"/>
  <c r="B37" i="6"/>
  <c r="F36" i="6"/>
  <c r="E36" i="6"/>
  <c r="C36" i="6"/>
  <c r="B36" i="6"/>
  <c r="F35" i="6"/>
  <c r="E35" i="6"/>
  <c r="C35" i="6"/>
  <c r="B35" i="6"/>
  <c r="F34" i="6"/>
  <c r="E34" i="6"/>
  <c r="C34" i="6"/>
  <c r="B34" i="6"/>
  <c r="F33" i="6"/>
  <c r="E33" i="6"/>
  <c r="C33" i="6"/>
  <c r="B33" i="6"/>
  <c r="F32" i="6"/>
  <c r="E32" i="6"/>
  <c r="C32" i="6"/>
  <c r="B32" i="6"/>
  <c r="F31" i="6"/>
  <c r="E31" i="6"/>
  <c r="C31" i="6"/>
  <c r="B31" i="6"/>
  <c r="F30" i="6"/>
  <c r="E30" i="6"/>
  <c r="C30" i="6"/>
  <c r="B30" i="6"/>
  <c r="F29" i="6"/>
  <c r="E29" i="6"/>
  <c r="C29" i="6"/>
  <c r="B29" i="6"/>
  <c r="F28" i="6"/>
  <c r="E28" i="6"/>
  <c r="C28" i="6"/>
  <c r="B28" i="6"/>
  <c r="F27" i="6"/>
  <c r="E27" i="6"/>
  <c r="C27" i="6"/>
  <c r="B27" i="6"/>
  <c r="F26" i="6"/>
  <c r="E26" i="6"/>
  <c r="C26" i="6"/>
  <c r="B26" i="6"/>
  <c r="F25" i="6"/>
  <c r="E25" i="6"/>
  <c r="C25" i="6"/>
  <c r="B25" i="6"/>
  <c r="F24" i="6"/>
  <c r="E24" i="6"/>
  <c r="C24" i="6"/>
  <c r="B24" i="6"/>
  <c r="F23" i="6"/>
  <c r="E23" i="6"/>
  <c r="C23" i="6"/>
  <c r="B23" i="6"/>
  <c r="F22" i="6"/>
  <c r="E22" i="6"/>
  <c r="C22" i="6"/>
  <c r="B22" i="6"/>
  <c r="E18" i="6"/>
  <c r="D18" i="6"/>
  <c r="E17" i="6"/>
  <c r="D17" i="6"/>
  <c r="E16" i="6"/>
  <c r="D16" i="6"/>
  <c r="E15" i="6"/>
  <c r="D15" i="6"/>
  <c r="E14" i="6"/>
  <c r="D14" i="6"/>
  <c r="F10" i="6"/>
  <c r="G5" i="6"/>
  <c r="F24" i="5"/>
  <c r="E24" i="5"/>
  <c r="D24" i="5"/>
  <c r="C24" i="5"/>
  <c r="F20" i="5"/>
  <c r="C20" i="5"/>
  <c r="F19" i="5"/>
  <c r="C19" i="5"/>
  <c r="C16" i="5"/>
  <c r="C15" i="5"/>
  <c r="F14" i="5"/>
  <c r="C14" i="5"/>
  <c r="F13" i="5"/>
  <c r="C13" i="5"/>
  <c r="F12" i="5"/>
  <c r="C12" i="5"/>
  <c r="F11" i="5"/>
  <c r="C11" i="5"/>
  <c r="C10" i="5"/>
  <c r="B9" i="5"/>
  <c r="B8" i="5"/>
  <c r="F6" i="5"/>
  <c r="K35" i="4"/>
  <c r="I35" i="4"/>
  <c r="G35" i="4"/>
  <c r="H35" i="4" s="1"/>
  <c r="K34" i="4"/>
  <c r="G34" i="4"/>
  <c r="H34" i="4" s="1"/>
  <c r="K33" i="4"/>
  <c r="I33" i="4"/>
  <c r="G33" i="4"/>
  <c r="H33" i="4" s="1"/>
  <c r="K32" i="4"/>
  <c r="G32" i="4"/>
  <c r="H32" i="4" s="1"/>
  <c r="K31" i="4"/>
  <c r="I31" i="4"/>
  <c r="G31" i="4"/>
  <c r="H31" i="4" s="1"/>
  <c r="K30" i="4"/>
  <c r="G30" i="4"/>
  <c r="H30" i="4" s="1"/>
  <c r="K29" i="4"/>
  <c r="I29" i="4"/>
  <c r="G29" i="4"/>
  <c r="H29" i="4" s="1"/>
  <c r="K28" i="4"/>
  <c r="G28" i="4"/>
  <c r="H28" i="4" s="1"/>
  <c r="K27" i="4"/>
  <c r="I27" i="4"/>
  <c r="G27" i="4"/>
  <c r="H27" i="4" s="1"/>
  <c r="K26" i="4"/>
  <c r="G26" i="4"/>
  <c r="H26" i="4" s="1"/>
  <c r="K25" i="4"/>
  <c r="I25" i="4"/>
  <c r="G25" i="4"/>
  <c r="H25" i="4" s="1"/>
  <c r="K24" i="4"/>
  <c r="G24" i="4"/>
  <c r="H24" i="4" s="1"/>
  <c r="K23" i="4"/>
  <c r="I23" i="4"/>
  <c r="G23" i="4"/>
  <c r="H23" i="4" s="1"/>
  <c r="K22" i="4"/>
  <c r="G22" i="4"/>
  <c r="H22" i="4" s="1"/>
  <c r="K21" i="4"/>
  <c r="I21" i="4"/>
  <c r="G21" i="4"/>
  <c r="H21" i="4" s="1"/>
  <c r="K20" i="4"/>
  <c r="G20" i="4"/>
  <c r="H20" i="4" s="1"/>
  <c r="K19" i="4"/>
  <c r="I19" i="4"/>
  <c r="G19" i="4"/>
  <c r="H19" i="4" s="1"/>
  <c r="K18" i="4"/>
  <c r="G18" i="4"/>
  <c r="H18" i="4" s="1"/>
  <c r="K17" i="4"/>
  <c r="I17" i="4"/>
  <c r="G17" i="4"/>
  <c r="H17" i="4" s="1"/>
  <c r="K16" i="4"/>
  <c r="G16" i="4"/>
  <c r="H16" i="4" s="1"/>
  <c r="K15" i="4"/>
  <c r="I15" i="4"/>
  <c r="G15" i="4"/>
  <c r="H15" i="4" s="1"/>
  <c r="K14" i="4"/>
  <c r="H14" i="4"/>
  <c r="G14" i="4"/>
  <c r="K13" i="4"/>
  <c r="I13" i="4"/>
  <c r="G13" i="4"/>
  <c r="H13" i="4" s="1"/>
  <c r="K12" i="4"/>
  <c r="G12" i="4"/>
  <c r="H12" i="4" s="1"/>
  <c r="K11" i="4"/>
  <c r="I11" i="4"/>
  <c r="G11" i="4"/>
  <c r="H11" i="4" s="1"/>
  <c r="K10" i="4"/>
  <c r="G10" i="4"/>
  <c r="H10" i="4" s="1"/>
  <c r="K9" i="4"/>
  <c r="I9" i="4"/>
  <c r="G9" i="4"/>
  <c r="H9" i="4" s="1"/>
  <c r="K8" i="4"/>
  <c r="G8" i="4"/>
  <c r="H8" i="4" s="1"/>
  <c r="K7" i="4"/>
  <c r="I7" i="4"/>
  <c r="G7" i="4"/>
  <c r="H7" i="4" s="1"/>
  <c r="K6" i="4"/>
  <c r="G6" i="4"/>
  <c r="H6" i="4" s="1"/>
  <c r="K5" i="4"/>
  <c r="I5" i="4"/>
  <c r="G5" i="4"/>
  <c r="H5" i="4" s="1"/>
  <c r="K4" i="4"/>
  <c r="G4" i="4"/>
  <c r="H4" i="4" s="1"/>
  <c r="M22" i="3"/>
  <c r="N22" i="3" s="1"/>
  <c r="X21" i="3"/>
  <c r="W21" i="3"/>
  <c r="X20" i="3"/>
  <c r="W20" i="3"/>
  <c r="W19" i="3" l="1"/>
  <c r="X18" i="3"/>
  <c r="W18" i="3"/>
  <c r="X17" i="3"/>
  <c r="W17" i="3"/>
  <c r="X16" i="3"/>
  <c r="W16" i="3"/>
  <c r="X15" i="3"/>
  <c r="W15" i="3"/>
  <c r="X14" i="3"/>
  <c r="W14" i="3"/>
  <c r="X13" i="3"/>
  <c r="W13" i="3"/>
  <c r="W6" i="3"/>
  <c r="X12" i="3"/>
  <c r="W12" i="3"/>
  <c r="X11" i="3"/>
  <c r="W11" i="3"/>
  <c r="W10" i="3"/>
  <c r="X9" i="3"/>
  <c r="W9" i="3"/>
  <c r="X10" i="3"/>
  <c r="W8" i="3"/>
  <c r="X7" i="3"/>
  <c r="W7" i="3"/>
  <c r="X6" i="3"/>
  <c r="C28" i="5" s="1"/>
  <c r="G28" i="5"/>
  <c r="X19" i="3"/>
  <c r="X8" i="3"/>
  <c r="D37" i="6"/>
  <c r="Y21" i="3"/>
  <c r="D36" i="6"/>
  <c r="Y20" i="3"/>
  <c r="Y19" i="3" l="1"/>
  <c r="D35" i="6"/>
  <c r="Y18" i="3"/>
  <c r="D34" i="6"/>
  <c r="Y17" i="3"/>
  <c r="D33" i="6"/>
  <c r="Y16" i="3"/>
  <c r="D32" i="6"/>
  <c r="Y15" i="3"/>
  <c r="D31" i="6"/>
  <c r="Y14" i="3"/>
  <c r="D30" i="6"/>
  <c r="Y13" i="3"/>
  <c r="D29" i="6"/>
  <c r="B28" i="5"/>
  <c r="D22" i="6"/>
  <c r="Y6" i="3"/>
  <c r="Y12" i="3"/>
  <c r="D28" i="6"/>
  <c r="Y11" i="3"/>
  <c r="D27" i="6"/>
  <c r="Y10" i="3"/>
  <c r="D26" i="6"/>
  <c r="Y9" i="3"/>
  <c r="D25" i="6"/>
  <c r="Y8" i="3"/>
  <c r="D24" i="6"/>
  <c r="Y7" i="3"/>
  <c r="D23" i="6"/>
  <c r="AA21" i="3"/>
  <c r="Z21" i="3"/>
  <c r="H37" i="6" s="1"/>
  <c r="G37" i="6"/>
  <c r="AA20" i="3"/>
  <c r="G36" i="6"/>
  <c r="Z20" i="3"/>
  <c r="H36" i="6" s="1"/>
  <c r="AA19" i="3" l="1"/>
  <c r="G35" i="6"/>
  <c r="Z19" i="3"/>
  <c r="H35" i="6" s="1"/>
  <c r="Z18" i="3"/>
  <c r="H34" i="6" s="1"/>
  <c r="AA18" i="3"/>
  <c r="F18" i="6" s="1"/>
  <c r="G18" i="6" s="1"/>
  <c r="H18" i="6" s="1"/>
  <c r="G34" i="6"/>
  <c r="Z17" i="3"/>
  <c r="H33" i="6" s="1"/>
  <c r="AA17" i="3"/>
  <c r="F15" i="6" s="1"/>
  <c r="G15" i="6" s="1"/>
  <c r="H15" i="6" s="1"/>
  <c r="G33" i="6"/>
  <c r="Z16" i="3"/>
  <c r="H32" i="6" s="1"/>
  <c r="AA16" i="3"/>
  <c r="G32" i="6"/>
  <c r="Z15" i="3"/>
  <c r="H31" i="6" s="1"/>
  <c r="AA15" i="3"/>
  <c r="G31" i="6"/>
  <c r="Z14" i="3"/>
  <c r="H30" i="6" s="1"/>
  <c r="AA14" i="3"/>
  <c r="F17" i="6" s="1"/>
  <c r="G17" i="6" s="1"/>
  <c r="H17" i="6" s="1"/>
  <c r="G30" i="6"/>
  <c r="Z13" i="3"/>
  <c r="H29" i="6" s="1"/>
  <c r="AA13" i="3"/>
  <c r="G29" i="6"/>
  <c r="Z6" i="3"/>
  <c r="AA6" i="3"/>
  <c r="G10" i="6"/>
  <c r="G22" i="6"/>
  <c r="D28" i="5"/>
  <c r="Z12" i="3"/>
  <c r="H28" i="6" s="1"/>
  <c r="AA12" i="3"/>
  <c r="G28" i="6"/>
  <c r="Z11" i="3"/>
  <c r="H27" i="6" s="1"/>
  <c r="AA11" i="3"/>
  <c r="G27" i="6"/>
  <c r="Z10" i="3"/>
  <c r="H26" i="6" s="1"/>
  <c r="AA10" i="3"/>
  <c r="G26" i="6"/>
  <c r="Z9" i="3"/>
  <c r="H25" i="6" s="1"/>
  <c r="AA9" i="3"/>
  <c r="G25" i="6"/>
  <c r="Z8" i="3"/>
  <c r="H24" i="6" s="1"/>
  <c r="AA8" i="3"/>
  <c r="F16" i="6" s="1"/>
  <c r="G16" i="6" s="1"/>
  <c r="H16" i="6" s="1"/>
  <c r="G24" i="6"/>
  <c r="Z7" i="3"/>
  <c r="H23" i="6" s="1"/>
  <c r="AA7" i="3"/>
  <c r="G23" i="6"/>
  <c r="B10" i="6" l="1"/>
  <c r="E10" i="6"/>
  <c r="C10" i="6"/>
  <c r="D10" i="6"/>
  <c r="H22" i="6"/>
  <c r="E28" i="5"/>
  <c r="F28" i="5"/>
  <c r="F14" i="6"/>
  <c r="G14" i="6" s="1"/>
  <c r="H14" i="6" s="1"/>
  <c r="B5" i="6"/>
  <c r="E5" i="6" s="1"/>
</calcChain>
</file>

<file path=xl/sharedStrings.xml><?xml version="1.0" encoding="utf-8"?>
<sst xmlns="http://schemas.openxmlformats.org/spreadsheetml/2006/main" count="616" uniqueCount="291">
  <si>
    <t>نظام مؤشرات الأداء</t>
  </si>
  <si>
    <t>KPI Card · Register · Readings · Dashboard</t>
  </si>
  <si>
    <t>بطاقة المؤشر ← سجل المؤشرات ← سجل القراءات ← لوحة المؤشرات</t>
  </si>
  <si>
    <t>الإطار المتكامل للتميز في الخدمات ورضا المستفيد</t>
  </si>
  <si>
    <t>أمانة محافظة الريادة — منظمة افتراضية بالكامل لأغراض العرض</t>
  </si>
  <si>
    <t>رمز الوثيقة</t>
  </si>
  <si>
    <t>IMT-ISE-SH-REG-001 v1.0</t>
  </si>
  <si>
    <t>عدد المؤشرات</t>
  </si>
  <si>
    <t>16 مؤشراً على خمسة أهداف استراتيجية · مجموع الأوزان 100٪</t>
  </si>
  <si>
    <t>دورات القياس</t>
  </si>
  <si>
    <t>الربع الأول والربع الثاني 2026</t>
  </si>
  <si>
    <t>مصدر القيم</t>
  </si>
  <si>
    <t>IMT-ISE-DM-REG-000 — المصنف المركزي للبيانات</t>
  </si>
  <si>
    <t>بنية النظام</t>
  </si>
  <si>
    <t>بطاقة ديناميكية · سجل خصائص · سجل قراءات · لوحة موزونة</t>
  </si>
  <si>
    <t>العلامة التجارية</t>
  </si>
  <si>
    <t>امتثال · Imtithal — imtithal.store</t>
  </si>
  <si>
    <t>تُسجَّل خصائص كل مؤشر مرة واحدة في «سجل المؤشرات»، وتُدخل القراءات الدورية في «سجل القراءات»، ثم تعرض «بطاقة المؤشر» أي مؤشر يُختار من قائمة منسدلة واحدة دون أي إدخال إضافي، وتلخص «لوحة المؤشرات» الأداء المؤسسي الموزون. قاعدة كتابية: لا يُستخدم رمز القسم في أي مخرج؛ تُكتب «بند» و«البنود». كل الأرقام بيانات افتراضية للعرض ولا تُنسب إلى أي جهة حكومية حقيقية.</t>
  </si>
  <si>
    <t>منهجية قياس الأداء المعتمدة</t>
  </si>
  <si>
    <t>تحكم طريقة احتساب نسبة الإنجاز وتصنيف الحالة والوزن النسبي · تُقرأ قبل أي إدخال</t>
  </si>
  <si>
    <t>#</t>
  </si>
  <si>
    <t>العنصر</t>
  </si>
  <si>
    <t>التعريف والقاعدة</t>
  </si>
  <si>
    <t>أثره في النظام</t>
  </si>
  <si>
    <t>1</t>
  </si>
  <si>
    <t>القطبية</t>
  </si>
  <si>
    <t>موجبة تعني أن ارتفاع القيمة تحسّن · سالبة تعني أن انخفاض القيمة تحسّن</t>
  </si>
  <si>
    <t>تحدد اتجاه احتساب نسبة الإنجاز واتجاه التحسن</t>
  </si>
  <si>
    <t>2</t>
  </si>
  <si>
    <t>خط الأساس</t>
  </si>
  <si>
    <t>آخر قيمة مقيسة قبل بدء دورة التحسين، وتاريخها مسجل</t>
  </si>
  <si>
    <t>نقطة البداية التي يُقاس منها التقدم</t>
  </si>
  <si>
    <t>3</t>
  </si>
  <si>
    <t>المستهدف السنوي</t>
  </si>
  <si>
    <t>القيمة المطلوب بلوغها بنهاية السنة، وتُفصَّل على أربعة أرباع</t>
  </si>
  <si>
    <t>المرجع الذي تُقاس عليه نسبة الإنجاز في البطاقة</t>
  </si>
  <si>
    <t>4</t>
  </si>
  <si>
    <t>نسبة إلى المستهدف</t>
  </si>
  <si>
    <t>للمؤشر الموجب: القيمة ÷ المستهدف · وللسالب: المستهدف ÷ القيمة</t>
  </si>
  <si>
    <t>الطريقة الافتراضية لأغلب المؤشرات</t>
  </si>
  <si>
    <t>5</t>
  </si>
  <si>
    <t>مقارنة بخط الأساس</t>
  </si>
  <si>
    <t>(القيمة ناقص خط الأساس) ÷ (المستهدف ناقص خط الأساس)</t>
  </si>
  <si>
    <t>تُستخدم حين يكون المستهدف صفراً أو القيم سالبة، حيث تفشل القسمة المباشرة</t>
  </si>
  <si>
    <t>6</t>
  </si>
  <si>
    <t>سقف الإنجاز</t>
  </si>
  <si>
    <t>تُحتسب نسبة الإنجاز بحد أقصى 120٪ وحد أدنى صفر</t>
  </si>
  <si>
    <t>يمنع تشويه المتوسط الموزون بقيمة شاذة واحدة</t>
  </si>
  <si>
    <t>7</t>
  </si>
  <si>
    <t>وزن المؤشر</t>
  </si>
  <si>
    <t>أهمية المؤشر النسبية · مجموع الأوزان يساوي 100٪ بالضبط</t>
  </si>
  <si>
    <t>يحوّل نتائج المؤشرات إلى نتيجة مؤسسية واحدة</t>
  </si>
  <si>
    <t>8</t>
  </si>
  <si>
    <t>الإنجاز الموزون</t>
  </si>
  <si>
    <t>نسبة إنجاز المؤشر × وزنه، ومجموعه هو الأداء المؤسسي العام</t>
  </si>
  <si>
    <t>لغة القيادة: رقم واحد يلخص المنظومة</t>
  </si>
  <si>
    <t>9</t>
  </si>
  <si>
    <t>دورية القياس</t>
  </si>
  <si>
    <t>أسبوعي أو شهري أو ربع سنوي بحسب طبيعة المؤشر ومصدر بياناته</t>
  </si>
  <si>
    <t>تحكم تكرار الإدخال في سجل القراءات</t>
  </si>
  <si>
    <t>10</t>
  </si>
  <si>
    <t>فصل المالك عن القائس</t>
  </si>
  <si>
    <t>مالك المؤشر هو المساءل عن النتيجة، والمسؤول عن القياس جهة أخرى</t>
  </si>
  <si>
    <t>يمنع أن تقيس الإدارة أداء نفسها وتقيّمه</t>
  </si>
  <si>
    <t>11</t>
  </si>
  <si>
    <t>مستهدف الفترة</t>
  </si>
  <si>
    <t>لكل ربع مستهدف مستقل يُقاس عليه أداء تلك الفترة وحدها</t>
  </si>
  <si>
    <t>يكشف التعثر مبكراً بدل انتظار نهاية السنة</t>
  </si>
  <si>
    <t>12</t>
  </si>
  <si>
    <t>الفارق عن الفترة السابقة</t>
  </si>
  <si>
    <t>يُحتسب مع مراعاة القطبية: القيمة الموجبة تعني تحسناً دائماً</t>
  </si>
  <si>
    <t>يمنع قراءة انخفاض مؤشر سالب على أنه تراجع</t>
  </si>
  <si>
    <t>نطاقات تصنيف حالة المؤشر</t>
  </si>
  <si>
    <t>الرمز</t>
  </si>
  <si>
    <t>الحالة</t>
  </si>
  <si>
    <t>المدى</t>
  </si>
  <si>
    <t>المعالجة المطلوبة</t>
  </si>
  <si>
    <t>N1</t>
  </si>
  <si>
    <t>متعثر</t>
  </si>
  <si>
    <t>أقل من 70٪</t>
  </si>
  <si>
    <t>تدخل فوري من مالك المؤشر وفتح فرصة تحسين في سجل التحسين</t>
  </si>
  <si>
    <t>N2</t>
  </si>
  <si>
    <t>يحتاج متابعة</t>
  </si>
  <si>
    <t>من 70٪ إلى أقل من 85٪</t>
  </si>
  <si>
    <t>خطة معالجة تُعرض في دورة القياس التالية</t>
  </si>
  <si>
    <t>N3</t>
  </si>
  <si>
    <t>ضمن المستهدف</t>
  </si>
  <si>
    <t>من 85٪ إلى أقل من 99٪</t>
  </si>
  <si>
    <t>استمرار المتابعة الدورية دون تدخل</t>
  </si>
  <si>
    <t>N4</t>
  </si>
  <si>
    <t>متميز</t>
  </si>
  <si>
    <t>99٪ فأعلى</t>
  </si>
  <si>
    <t>توثيق الممارسة ونقلها إلى خدمات أخرى</t>
  </si>
  <si>
    <t>ملاحظة مرجعية: تصميم البطاقة يتبع الشكل المتعارف عليه لبطاقات مؤشرات الأداء في الجهات الحكومية (اسم المؤشر ومالكه ومعادلته وقطبيته ووزنه وخط أساسه ومستهدفاته الربعية ونطاقاته اللونية). ولم تُنسب هذه البطاقة إلى منهجية رسمية بعينها في هذا الإصدار لعدم تزويد مصدر رسمي، وهو مسجل في سجل التحقق ضمن خطة المشروع تحت البند V-09.</t>
  </si>
  <si>
    <t>سجل مؤشرات الأداء — KPI Register</t>
  </si>
  <si>
    <t>فترة التقرير</t>
  </si>
  <si>
    <t>الربع الثاني 2026</t>
  </si>
  <si>
    <t>تغيير فترة التقرير يحدّث الأعمدة المحسوبة الأربعة الأخيرة وبطاقة المؤشر ولوحة المؤشرات معاً</t>
  </si>
  <si>
    <t>KPI_ID</t>
  </si>
  <si>
    <t>اسم المؤشر</t>
  </si>
  <si>
    <t>وصف المؤشر</t>
  </si>
  <si>
    <t>الهدف الاستراتيجي</t>
  </si>
  <si>
    <t>مجال المصفوفة البينية</t>
  </si>
  <si>
    <t>المرجعية</t>
  </si>
  <si>
    <t>مالك المؤشر</t>
  </si>
  <si>
    <t>المسؤول عن القياس</t>
  </si>
  <si>
    <t>معادلة القياس</t>
  </si>
  <si>
    <t>وحدة القياس</t>
  </si>
  <si>
    <t>تاريخ خط الأساس</t>
  </si>
  <si>
    <t>مستهدف ر1</t>
  </si>
  <si>
    <t>مستهدف ر2</t>
  </si>
  <si>
    <t>مستهدف ر3</t>
  </si>
  <si>
    <t>مستهدف ر4</t>
  </si>
  <si>
    <t>مصدر البيانات</t>
  </si>
  <si>
    <t>طريقة احتساب الإنجاز</t>
  </si>
  <si>
    <t>قراءة الفترة</t>
  </si>
  <si>
    <t>تاريخ القراءة</t>
  </si>
  <si>
    <t>نسبة الإنجاز</t>
  </si>
  <si>
    <t>KPI-01</t>
  </si>
  <si>
    <t>نسبة الوفاء بالمدد المعلنة للخدمات</t>
  </si>
  <si>
    <t>نسبة الطلبات المكتملة خلال المدة المعلنة في ميثاق الالتزامات إلى إجمالي الطلبات المكتملة خلال فترة القياس.</t>
  </si>
  <si>
    <t>الوفاء بالوعد المعلن للمستفيد</t>
  </si>
  <si>
    <t>D-10 الالتزامات</t>
  </si>
  <si>
    <t>ISO 10001 بند 6.5 · بند 8.2</t>
  </si>
  <si>
    <t>خدمة المستفيدين والتراخيص</t>
  </si>
  <si>
    <t>التحول الرقمي والأداء المؤسسي</t>
  </si>
  <si>
    <t>(عدد الطلبات المكتملة ضمن المدة المعلنة ÷ إجمالي الطلبات المكتملة) × 100</t>
  </si>
  <si>
    <t>نسبة مئوية</t>
  </si>
  <si>
    <t>شهري</t>
  </si>
  <si>
    <t>موجبة</t>
  </si>
  <si>
    <t>2025-12-31</t>
  </si>
  <si>
    <t>TBL_REQ — عمود حالة الالتزام</t>
  </si>
  <si>
    <t>KPI-02</t>
  </si>
  <si>
    <t>متوسط أيام تجاوز المدة المعلنة</t>
  </si>
  <si>
    <t>متوسط عدد أيام العمل التي تجاوزتها الطلبات المخالفة عن المدة المعلنة، ويقيس شدة الإخلال لا تكراره.</t>
  </si>
  <si>
    <t>ISO 10001 بند 8.2</t>
  </si>
  <si>
    <t>مجموع أيام التجاوز للطلبات المخالفة ÷ عدد الطلبات المخالفة</t>
  </si>
  <si>
    <t>يوم عمل</t>
  </si>
  <si>
    <t>سالبة</t>
  </si>
  <si>
    <t>TBL_REQ — عمود أيام التجاوز</t>
  </si>
  <si>
    <t>KPI-03</t>
  </si>
  <si>
    <t>عدد الشكاوى لكل مئة طلب</t>
  </si>
  <si>
    <t>معدل تكرار الشكاوى منسوباً إلى حجم الطلبات، ويُستخدم كمؤشر غير مباشر لرضا المستفيد.</t>
  </si>
  <si>
    <t>معالجة عادلة وسريعة وشفافة للشكاوى</t>
  </si>
  <si>
    <t>D-11 الشكاوى</t>
  </si>
  <si>
    <t>ISO 10002 بند 8.2 · ISO 10004 بند 7.3.2</t>
  </si>
  <si>
    <t>(إجمالي الشكاوى ÷ إجمالي الطلبات) × 100</t>
  </si>
  <si>
    <t>شكوى لكل 100 طلب</t>
  </si>
  <si>
    <t>TBL_CMP · TBL_REQ</t>
  </si>
  <si>
    <t>KPI-04</t>
  </si>
  <si>
    <t>نسبة الإشعار باستلام الشكوى ضمن الالتزام</t>
  </si>
  <si>
    <t>نسبة الشكاوى التي أُشعر مقدموها باستلامها خلال يوم عمل واحد وفق الالتزام CMT-13.</t>
  </si>
  <si>
    <t>ISO 10002 بند 7.4</t>
  </si>
  <si>
    <t>(الشكاوى المُشعر باستلامها خلال يوم عمل ÷ إجمالي الشكاوى) × 100</t>
  </si>
  <si>
    <t>أسبوعي</t>
  </si>
  <si>
    <t>TBL_CMP — عمود الإشعار مقابل CMT-13</t>
  </si>
  <si>
    <t>KPI-05</t>
  </si>
  <si>
    <t>نسبة إغلاق الشكاوى ضمن الالتزام</t>
  </si>
  <si>
    <t>نسبة الشكاوى المغلقة خلال عشرة أيام عمل من تاريخ استلامها وفق الالتزام CMT-14.</t>
  </si>
  <si>
    <t>ISO 10002 بند 7.9</t>
  </si>
  <si>
    <t>(الشكاوى المغلقة ضمن عشرة أيام عمل ÷ إجمالي الشكاوى المغلقة) × 100</t>
  </si>
  <si>
    <t>TBL_CMP — عمود الإغلاق مقابل CMT-14</t>
  </si>
  <si>
    <t>KPI-06</t>
  </si>
  <si>
    <t>متوسط أيام إغلاق الشكوى</t>
  </si>
  <si>
    <t>متوسط المدة من تاريخ استلام الشكوى إلى تاريخ إغلاقها بأيام العمل.</t>
  </si>
  <si>
    <t>ISO 10002 بند 8.2</t>
  </si>
  <si>
    <t>مجموع أيام إغلاق الشكاوى المغلقة ÷ عدد الشكاوى المغلقة</t>
  </si>
  <si>
    <t>TBL_CMP — عمود أيام الإغلاق</t>
  </si>
  <si>
    <t>KPI-07</t>
  </si>
  <si>
    <t>نسبة الشكاوى المصعّدة</t>
  </si>
  <si>
    <t>نسبة الشكاوى التي تجاوزت المستوى الأول من المعالجة وانتقلت إلى مسار التصعيد.</t>
  </si>
  <si>
    <t>ISO 10002 الملحق H</t>
  </si>
  <si>
    <t>المراجعة الداخلية</t>
  </si>
  <si>
    <t>(عدد الشكاوى المصعّدة ÷ إجمالي الشكاوى) × 100</t>
  </si>
  <si>
    <t>TBL_CMP — عمود الحالة</t>
  </si>
  <si>
    <t>KPI-08</t>
  </si>
  <si>
    <t>متوسط رضا مقدمي الشكاوى عن المعالجة</t>
  </si>
  <si>
    <t>متوسط تقييم مقدمي الشكاوى لعملية المعالجة ذاتها بعد الإغلاق على مقياس من واحد إلى خمسة.</t>
  </si>
  <si>
    <t>ISO 10002 بند 8.3</t>
  </si>
  <si>
    <t>مجموع تقييمات مقدمي الشكاوى المغلقة ÷ عدد الشكاوى المغلقة المقيَّمة</t>
  </si>
  <si>
    <t>درجة من 5</t>
  </si>
  <si>
    <t>ربع سنوي</t>
  </si>
  <si>
    <t>TBL_CMP — عمود رضا مقدم الشكوى</t>
  </si>
  <si>
    <t>KPI-09</t>
  </si>
  <si>
    <t>مؤشر رضا المستفيد العام</t>
  </si>
  <si>
    <t>نسبة قياسات الرضا التي جاء فيها إدراك المستفيد عند أربع درجات فأعلى من أصل خمس.</t>
  </si>
  <si>
    <t>رضا مستفيد مرتفع ومستدام</t>
  </si>
  <si>
    <t>D-12 الرضا</t>
  </si>
  <si>
    <t>ISO 10004 بند 7.3.3</t>
  </si>
  <si>
    <t>(عدد القياسات التي إدراكها 4 أو 5 ÷ إجمالي القياسات) × 100</t>
  </si>
  <si>
    <t>TBL_SAT — عمود راضٍ</t>
  </si>
  <si>
    <t>KPI-10</t>
  </si>
  <si>
    <t>متوسط فجوة التوقع والإدراك</t>
  </si>
  <si>
    <t>متوسط الفارق بين ما أدركه المستفيد وما توقعه؛ القيمة السالبة تعني توقعاً لم يُوفَّ به، والصفر هو نقطة التعادل.</t>
  </si>
  <si>
    <t>ISO 10004 بند 4.2</t>
  </si>
  <si>
    <t>مجموع (الإدراك ناقص التوقع) ÷ عدد القياسات</t>
  </si>
  <si>
    <t>درجة</t>
  </si>
  <si>
    <t>TBL_SAT — عمود الفجوة</t>
  </si>
  <si>
    <t>KPI-11</t>
  </si>
  <si>
    <t>صافي مؤشر الترشيح</t>
  </si>
  <si>
    <t>الفارق بين نسبة المروّجين ونسبة المنتقدين من المستفيدين، ويتراوح بين سالب مئة وموجب مئة.</t>
  </si>
  <si>
    <t>(نسبة المروّجين ناقص نسبة المنتقدين) × 100</t>
  </si>
  <si>
    <t>نقطة</t>
  </si>
  <si>
    <t>TBL_SAT — عمود تصنيف الترشيح</t>
  </si>
  <si>
    <t>KPI-12</t>
  </si>
  <si>
    <t>متوسط مؤشر جهد المستفيد</t>
  </si>
  <si>
    <t>متوسط الجهد الذي بذله المستفيد لإتمام الخدمة على مقياس من واحد إلى خمسة؛ كلما انخفض كان أفضل.</t>
  </si>
  <si>
    <t>تجربة مستفيد ميسّرة عبر كل القنوات</t>
  </si>
  <si>
    <t>D-08 تصميم التجربة</t>
  </si>
  <si>
    <t>ISO 10004 بند 7.3.1</t>
  </si>
  <si>
    <t>مجموع درجات جهد المستفيد ÷ عدد القياسات</t>
  </si>
  <si>
    <t>TBL_SAT — عمود جهد المستفيد</t>
  </si>
  <si>
    <t>KPI-13</t>
  </si>
  <si>
    <t>نسبة الشكاوى المحدَّد سببها الجذري</t>
  </si>
  <si>
    <t>نسبة الشكاوى المغلقة التي وُثّق لها سبب جذري، وهي التي تُحوّل الشكوى من حادثة إلى معرفة قابلة للتحسين.</t>
  </si>
  <si>
    <t>تحسين مستمر مبني على البيانات</t>
  </si>
  <si>
    <t>D-16 التحليل</t>
  </si>
  <si>
    <t>(الشكاوى المغلقة ذات السبب الجذري الموثق ÷ إجمالي الشكاوى المغلقة) × 100</t>
  </si>
  <si>
    <t>TBL_CMP — عمود السبب الجذري</t>
  </si>
  <si>
    <t>KPI-14</t>
  </si>
  <si>
    <t>نسبة فرص التحسين المنفذة</t>
  </si>
  <si>
    <t>نسبة فرص التحسين التي وصلت إلى حالة منفذة من إجمالي الفرص المسجلة، وهي مؤشر إغلاق الحلقة.</t>
  </si>
  <si>
    <t>D-19 التحسين</t>
  </si>
  <si>
    <t>ISO 10002 بند 8.7 · ISO 10004 بند 8</t>
  </si>
  <si>
    <t>الموارد البشرية والتطوير المؤسسي</t>
  </si>
  <si>
    <t>(عدد فرص التحسين المنفذة ÷ إجمالي فرص التحسين المسجلة) × 100</t>
  </si>
  <si>
    <t>TBL_IMP — عمود الحالة</t>
  </si>
  <si>
    <t>KPI-15</t>
  </si>
  <si>
    <t>نسبة الطلبات المقدَّمة عبر القنوات الرقمية</t>
  </si>
  <si>
    <t>نسبة الطلبات الواردة عبر البوابة والتطبيق والمنصة الوطنية إلى إجمالي الطلبات.</t>
  </si>
  <si>
    <t>ISO 23592 بند 5 (و) توظيف التقنية</t>
  </si>
  <si>
    <t>(الطلبات عبر القنوات الرقمية ÷ إجمالي الطلبات) × 100</t>
  </si>
  <si>
    <t>TBL_REQ — عمود القناة</t>
  </si>
  <si>
    <t>KPI-16</t>
  </si>
  <si>
    <t>نسبة الطلبات التي أعقبتها شكوى</t>
  </si>
  <si>
    <t>نسبة الطلبات التي ورد بشأنها شكوى واحدة على الأقل، وتقيس أثر الخدمة على المستفيد لا حجم الشكاوى وحده.</t>
  </si>
  <si>
    <t>ISO 10004 بند 7.3.2</t>
  </si>
  <si>
    <t>(عدد الطلبات التي ورد بشأنها شكوى ÷ إجمالي الطلبات) × 100</t>
  </si>
  <si>
    <t>TBL_REQ — عمود ورد بشأنه شكوى</t>
  </si>
  <si>
    <t>مجموع الأوزان</t>
  </si>
  <si>
    <t>مفتاح الألوان: الأزرق خلية إدخال · الأسود خلية محسوبة لا تُعدَّل. الأعمدة الأربعة الأخيرة تُقرأ من سجل القراءات وفق فترة التقرير المحددة أعلاه. مجموع الأوزان يجب أن يظل 100٪ وإلا فسدت النتيجة المؤسسية الموزونة.</t>
  </si>
  <si>
    <t>سجل القراءات الدورية — Readings Log</t>
  </si>
  <si>
    <t>تُدخل قراءة كل مؤشر في كل دورة قياس · نسبة الإنجاز والحالة والفارق تُحسب آلياً مع مراعاة القطبية</t>
  </si>
  <si>
    <t>الفترة</t>
  </si>
  <si>
    <t>تاريخ القياس</t>
  </si>
  <si>
    <t>القيمة المقيسة</t>
  </si>
  <si>
    <t>ملاحظة القياس</t>
  </si>
  <si>
    <t>مفتاح الربط</t>
  </si>
  <si>
    <t>الربع الأول 2026</t>
  </si>
  <si>
    <t>2026-03-31</t>
  </si>
  <si>
    <t>—</t>
  </si>
  <si>
    <t>2026-06-30</t>
  </si>
  <si>
    <t>تحسن مدفوع بخدمات البلاغات · رخصة البناء ما تزال دون المستوى</t>
  </si>
  <si>
    <t>تحسن بعد تفعيل مسار التصعيد المبكر</t>
  </si>
  <si>
    <t>التحسن أبطأ من المستهدف الربعي</t>
  </si>
  <si>
    <t>المؤشر سالب رغم التحسن — يحتاج تدخلاً مباشراً</t>
  </si>
  <si>
    <t>تجاوز المستهدف بعد إلزام توثيق السبب الجذري قبل الإغلاق</t>
  </si>
  <si>
    <t>أدنى مؤشر في المنظومة · معظم الفرص ما تزال قيد التنفيذ</t>
  </si>
  <si>
    <t>«الفارق عن الفترة السابقة» محسوب مع مراعاة القطبية: القيمة الموجبة تعني تحسناً دائماً حتى في المؤشرات التي يكون انخفاضها هو المرغوب. وعمود «مفتاح الربط» عمود فني تقرأ منه البطاقة والسجل ولا يُعدَّل. ولإضافة دورة قياس جديدة تُنسخ كتلة المؤشرات كاملة ويُغيَّر اسم الفترة وتاريخها ومستهدفها.</t>
  </si>
  <si>
    <t>بطاقة مؤشر الأداء</t>
  </si>
  <si>
    <t>أمانة محافظة الريادة — منظمة افتراضية · الإطار المتكامل للتميز في الخدمات ورضا المستفيد</t>
  </si>
  <si>
    <t>اختر المؤشر</t>
  </si>
  <si>
    <t>خط الأساس والمستهدفات</t>
  </si>
  <si>
    <t>تاريخ قياس خط الأساس</t>
  </si>
  <si>
    <t>المستهدفات الربعية</t>
  </si>
  <si>
    <t>الربع الأول</t>
  </si>
  <si>
    <t>الربع الثاني</t>
  </si>
  <si>
    <t>الربع الثالث</t>
  </si>
  <si>
    <t>الربع الرابع</t>
  </si>
  <si>
    <t>المستهدف</t>
  </si>
  <si>
    <t>قراءة الفترة والحالة</t>
  </si>
  <si>
    <t>الاتجاه</t>
  </si>
  <si>
    <t>الحالة تُحتسب من نسبة الإنجاز وفق هذه النطاقات</t>
  </si>
  <si>
    <t>البطاقة ديناميكية بالكامل: تغيير رمز المؤشر في الخلية الصفراء يحدّث كل حقل فيها، وفترة التقرير تُضبط من سجل المؤشرات. ولا يُدخل في هذه الورقة أي بيانات — الإدخال في «سجل المؤشرات» و«سجل القراءات» فقط. نمط البطاقة يتبع الشكل المتعارف عليه لبطاقات الأداء الحكومية ولم يُنسب إلى منهجية رسمية بعينها (البند V-09).</t>
  </si>
  <si>
    <t>لوحة مؤشرات الأداء — الأداء المؤسسي الموزون</t>
  </si>
  <si>
    <t>ورقة قراءة فقط · كل رقم محسوب من سجل المؤشرات وسجل القراءات · تتبع فترة التقرير المحددة في سجل المؤشرات</t>
  </si>
  <si>
    <t>الأداء المؤسسي العام (موزون)</t>
  </si>
  <si>
    <t>الحالة العامة</t>
  </si>
  <si>
    <t>توزيع المؤشرات على نطاقات الأداء</t>
  </si>
  <si>
    <t>أدنى ثلاثة مؤشرات إنجازاً</t>
  </si>
  <si>
    <t>الأداء حسب الهدف الاستراتيجي</t>
  </si>
  <si>
    <t>الوزن</t>
  </si>
  <si>
    <t>الإنجاز النسبي</t>
  </si>
  <si>
    <t>ISO 10001</t>
  </si>
  <si>
    <t>ISO 23592</t>
  </si>
  <si>
    <t>ISO 10002</t>
  </si>
  <si>
    <t>ISO 10004</t>
  </si>
  <si>
    <t>المراجع الأربع</t>
  </si>
  <si>
    <t>تفصيل المؤشرات</t>
  </si>
  <si>
    <t>المؤشر</t>
  </si>
  <si>
    <t>كيف تُقرأ هذه اللوحة: ابدأ من الأداء المؤسسي الموزون، ثم انزل إلى الهدف الاستراتيجي الأضعف، ثم إلى مؤشراته في جدول التفصيل، ثم افتح «بطاقة المؤشر» على المؤشر المتعثر لترى مالكه ومعادلته ومصدر بياناته واتجاهه بين الفترتين ومستهدفه الربعي القادم. وهذا المسار الرباعي هو سبب فصل البطاقة عن السجل عن سجل القراءات عن اللوحة.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</si>
</sst>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8" x14ac:knownFonts="1">
    <font>
      <sz val="11"/>
      <color theme="1"/>
      <name val="Arial"/>
      <family val="2"/>
      <scheme val="minor"/>
    </font>
    <font>
      <b/>
      <sz val="22"/>
      <color rgb="FF1A2E5E"/>
      <name val="Arial"/>
    </font>
    <font>
      <sz val="10.5"/>
      <color rgb="FF2EA67A"/>
      <name val="Arial"/>
    </font>
    <font>
      <b/>
      <sz val="12.5"/>
      <color rgb="FFC8A84B"/>
      <name val="Arial"/>
    </font>
    <font>
      <sz val="11"/>
      <color rgb="FF1A2E5E"/>
      <name val="Arial"/>
    </font>
    <font>
      <sz val="10"/>
      <color rgb="FF6B7280"/>
      <name val="Arial"/>
    </font>
    <font>
      <b/>
      <sz val="9.5"/>
      <color rgb="FFFFFFFF"/>
      <name val="Arial"/>
    </font>
    <font>
      <sz val="9.5"/>
      <name val="Arial"/>
    </font>
    <font>
      <sz val="9"/>
      <color rgb="FF8A6D1B"/>
      <name val="Arial"/>
    </font>
    <font>
      <b/>
      <sz val="13"/>
      <color rgb="FFFFFFFF"/>
      <name val="Arial"/>
    </font>
    <font>
      <i/>
      <sz val="9"/>
      <color rgb="FF1A2E5E"/>
      <name val="Arial"/>
    </font>
    <font>
      <b/>
      <sz val="9"/>
      <color rgb="FFFFFFFF"/>
      <name val="Arial"/>
    </font>
    <font>
      <sz val="9"/>
      <color rgb="FF1F2937"/>
      <name val="Arial"/>
    </font>
    <font>
      <b/>
      <sz val="11"/>
      <color rgb="FFFFFFFF"/>
      <name val="Arial"/>
    </font>
    <font>
      <b/>
      <sz val="10"/>
      <color rgb="FF8A1B1B"/>
      <name val="Arial"/>
    </font>
    <font>
      <b/>
      <sz val="10"/>
      <color rgb="FF8A6D1B"/>
      <name val="Arial"/>
    </font>
    <font>
      <b/>
      <sz val="10"/>
      <color rgb="FF1F5C2E"/>
      <name val="Arial"/>
    </font>
    <font>
      <b/>
      <sz val="10"/>
      <color rgb="FF12406B"/>
      <name val="Arial"/>
    </font>
    <font>
      <b/>
      <sz val="11"/>
      <color rgb="FF0000FF"/>
      <name val="Arial"/>
    </font>
    <font>
      <b/>
      <sz val="9"/>
      <color rgb="FF0000FF"/>
      <name val="Arial"/>
    </font>
    <font>
      <sz val="9"/>
      <color rgb="FF0000FF"/>
      <name val="Arial"/>
    </font>
    <font>
      <b/>
      <sz val="9"/>
      <name val="Arial"/>
    </font>
    <font>
      <sz val="8.5"/>
      <color rgb="FF374151"/>
      <name val="Arial"/>
    </font>
    <font>
      <sz val="8"/>
      <color rgb="FF9AA3AF"/>
      <name val="Arial"/>
    </font>
    <font>
      <b/>
      <sz val="18"/>
      <color rgb="FF1A2E5E"/>
      <name val="Arial"/>
    </font>
    <font>
      <sz val="8.5"/>
      <color rgb="FF6B7280"/>
      <name val="Arial"/>
    </font>
    <font>
      <b/>
      <sz val="10"/>
      <color rgb="FFFFFFFF"/>
      <name val="Arial"/>
    </font>
    <font>
      <b/>
      <sz val="12"/>
      <color rgb="FF0000FF"/>
      <name val="Arial"/>
    </font>
    <font>
      <b/>
      <sz val="11"/>
      <color rgb="FF1A2E5E"/>
      <name val="Arial"/>
    </font>
    <font>
      <b/>
      <sz val="15"/>
      <color rgb="FFFFFFFF"/>
      <name val="Arial"/>
    </font>
    <font>
      <b/>
      <sz val="9.5"/>
      <color rgb="FF1A2E5E"/>
      <name val="Arial"/>
    </font>
    <font>
      <sz val="9.5"/>
      <color rgb="FF1F2937"/>
      <name val="Arial"/>
    </font>
    <font>
      <b/>
      <sz val="9.5"/>
      <color rgb="FF1F2937"/>
      <name val="Arial"/>
    </font>
    <font>
      <b/>
      <sz val="9"/>
      <color rgb="FF1A2E5E"/>
      <name val="Arial"/>
    </font>
    <font>
      <b/>
      <sz val="10"/>
      <color rgb="FF1F2937"/>
      <name val="Arial"/>
    </font>
    <font>
      <b/>
      <sz val="8.5"/>
      <color rgb="FFFFFFFF"/>
      <name val="Arial"/>
    </font>
    <font>
      <b/>
      <sz val="13"/>
      <color rgb="FF1A2E5E"/>
      <name val="Arial"/>
    </font>
    <font>
      <b/>
      <sz val="12"/>
      <color rgb="FF1A2E5E"/>
      <name val="Arial"/>
    </font>
    <font>
      <i/>
      <sz val="8.5"/>
      <color rgb="FF6B7280"/>
      <name val="Arial"/>
    </font>
    <font>
      <sz val="8.5"/>
      <color rgb="FF8A6D1B"/>
      <name val="Arial"/>
    </font>
    <font>
      <b/>
      <sz val="26"/>
      <color rgb="FF1A2E5E"/>
      <name val="Arial"/>
    </font>
    <font>
      <b/>
      <sz val="16"/>
      <color rgb="FF1A2E5E"/>
      <name val="Arial"/>
    </font>
    <font>
      <b/>
      <sz val="15"/>
      <color rgb="FF1A2E5E"/>
      <name val="Arial"/>
    </font>
    <font>
      <b/>
      <sz val="18"/>
      <color rgb="FF8A1B1B"/>
      <name val="Arial"/>
    </font>
    <font>
      <b/>
      <sz val="18"/>
      <color rgb="FF8A6D1B"/>
      <name val="Arial"/>
    </font>
    <font>
      <b/>
      <sz val="18"/>
      <color rgb="FF1F5C2E"/>
      <name val="Arial"/>
    </font>
    <font>
      <b/>
      <sz val="18"/>
      <color rgb="FF12406B"/>
      <name val="Arial"/>
    </font>
    <font>
      <b/>
      <sz val="11"/>
      <color rgb="FF8A1B1B"/>
      <name val="Arial"/>
    </font>
  </fonts>
  <fills count="15">
    <fill>
      <patternFill patternType="none"/>
    </fill>
    <fill>
      <patternFill patternType="gray125"/>
    </fill>
    <fill>
      <patternFill patternType="solid">
        <fgColor rgb="FF1A2E5E"/>
      </patternFill>
    </fill>
    <fill>
      <patternFill patternType="solid">
        <fgColor rgb="FFFDF6E3"/>
      </patternFill>
    </fill>
    <fill>
      <patternFill patternType="solid">
        <fgColor rgb="FFEAF0F7"/>
      </patternFill>
    </fill>
    <fill>
      <patternFill patternType="solid">
        <fgColor rgb="FFF2F4F7"/>
      </patternFill>
    </fill>
    <fill>
      <patternFill patternType="solid">
        <fgColor rgb="FF2EA67A"/>
      </patternFill>
    </fill>
    <fill>
      <patternFill patternType="solid">
        <fgColor rgb="FFF8CECC"/>
      </patternFill>
    </fill>
    <fill>
      <patternFill patternType="solid">
        <fgColor rgb="FFFDE9C8"/>
      </patternFill>
    </fill>
    <fill>
      <patternFill patternType="solid">
        <fgColor rgb="FFD5E8D4"/>
      </patternFill>
    </fill>
    <fill>
      <patternFill patternType="solid">
        <fgColor rgb="FFBDD7EE"/>
      </patternFill>
    </fill>
    <fill>
      <patternFill patternType="solid">
        <fgColor rgb="FFC8A84B"/>
      </patternFill>
    </fill>
    <fill>
      <patternFill patternType="solid">
        <fgColor rgb="FFFFF7E0"/>
      </patternFill>
    </fill>
    <fill>
      <patternFill patternType="solid">
        <fgColor rgb="FFF7F9FC"/>
      </patternFill>
    </fill>
    <fill>
      <patternFill patternType="solid">
        <fgColor rgb="FFFDECEA"/>
      </patternFill>
    </fill>
  </fills>
  <borders count="3">
    <border>
      <left/>
      <right/>
      <top/>
      <bottom/>
      <diagonal/>
    </border>
    <border>
      <left style="thin">
        <color rgb="FFBFC7D2"/>
      </left>
      <right style="thin">
        <color rgb="FFBFC7D2"/>
      </right>
      <top style="thin">
        <color rgb="FFBFC7D2"/>
      </top>
      <bottom style="thin">
        <color rgb="FFBFC7D2"/>
      </bottom>
      <diagonal/>
    </border>
    <border>
      <left style="medium">
        <color rgb="FF1A2E5E"/>
      </left>
      <right style="medium">
        <color rgb="FF1A2E5E"/>
      </right>
      <top style="medium">
        <color rgb="FF1A2E5E"/>
      </top>
      <bottom style="medium">
        <color rgb="FF1A2E5E"/>
      </bottom>
      <diagonal/>
    </border>
  </borders>
  <cellStyleXfs count="1">
    <xf numFmtId="0" fontId="0" fillId="0" borderId="0"/>
  </cellStyleXfs>
  <cellXfs count="103">
    <xf numFmtId="0" fontId="0" fillId="0" borderId="0" xfId="0"/>
    <xf numFmtId="0" fontId="6" fillId="2"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right" vertical="center" wrapText="1"/>
    </xf>
    <xf numFmtId="0" fontId="12" fillId="5" borderId="1" xfId="0" applyFont="1" applyFill="1" applyBorder="1" applyAlignment="1">
      <alignment horizontal="center" vertical="center" wrapText="1"/>
    </xf>
    <xf numFmtId="0" fontId="12" fillId="5" borderId="1" xfId="0" applyFont="1" applyFill="1" applyBorder="1" applyAlignment="1">
      <alignment horizontal="right" vertical="center" wrapText="1"/>
    </xf>
    <xf numFmtId="0" fontId="14" fillId="7" borderId="1" xfId="0" applyFont="1" applyFill="1" applyBorder="1" applyAlignment="1">
      <alignment horizontal="right" vertical="center" wrapText="1"/>
    </xf>
    <xf numFmtId="0" fontId="15" fillId="8" borderId="1" xfId="0" applyFont="1" applyFill="1" applyBorder="1" applyAlignment="1">
      <alignment horizontal="right" vertical="center" wrapText="1"/>
    </xf>
    <xf numFmtId="0" fontId="16" fillId="9" borderId="1" xfId="0" applyFont="1" applyFill="1" applyBorder="1" applyAlignment="1">
      <alignment horizontal="right" vertical="center" wrapText="1"/>
    </xf>
    <xf numFmtId="0" fontId="17" fillId="10" borderId="1" xfId="0" applyFont="1" applyFill="1" applyBorder="1" applyAlignment="1">
      <alignment horizontal="right" vertical="center" wrapText="1"/>
    </xf>
    <xf numFmtId="0" fontId="11" fillId="11" borderId="1" xfId="0" applyFont="1" applyFill="1" applyBorder="1" applyAlignment="1">
      <alignment horizontal="center" vertical="center"/>
    </xf>
    <xf numFmtId="0" fontId="19" fillId="0" borderId="1" xfId="0" applyFont="1" applyBorder="1" applyAlignment="1">
      <alignment horizontal="center" vertical="center"/>
    </xf>
    <xf numFmtId="0" fontId="20" fillId="0" borderId="1" xfId="0" applyFont="1" applyBorder="1" applyAlignment="1">
      <alignment horizontal="right" vertical="center"/>
    </xf>
    <xf numFmtId="0" fontId="20" fillId="0" borderId="1" xfId="0" applyFont="1" applyBorder="1" applyAlignment="1">
      <alignment horizontal="right" vertical="center" wrapText="1"/>
    </xf>
    <xf numFmtId="0" fontId="20" fillId="0" borderId="1" xfId="0" applyFont="1" applyBorder="1" applyAlignment="1">
      <alignment horizontal="center" vertical="center"/>
    </xf>
    <xf numFmtId="9" fontId="20" fillId="0" borderId="1" xfId="0" applyNumberFormat="1" applyFont="1" applyBorder="1" applyAlignment="1">
      <alignment horizontal="center" vertical="center"/>
    </xf>
    <xf numFmtId="164" fontId="20" fillId="0" borderId="1" xfId="0" applyNumberFormat="1" applyFont="1" applyBorder="1" applyAlignment="1">
      <alignment horizontal="center" vertical="center"/>
    </xf>
    <xf numFmtId="164" fontId="12" fillId="0" borderId="1" xfId="0" applyNumberFormat="1" applyFont="1" applyBorder="1" applyAlignment="1">
      <alignment horizontal="center" vertical="center"/>
    </xf>
    <xf numFmtId="0" fontId="12" fillId="0" borderId="1" xfId="0" applyFont="1" applyBorder="1" applyAlignment="1">
      <alignment horizontal="center" vertical="center"/>
    </xf>
    <xf numFmtId="0" fontId="19" fillId="5" borderId="1" xfId="0" applyFont="1" applyFill="1" applyBorder="1" applyAlignment="1">
      <alignment horizontal="center" vertical="center"/>
    </xf>
    <xf numFmtId="0" fontId="20" fillId="5" borderId="1" xfId="0" applyFont="1" applyFill="1" applyBorder="1" applyAlignment="1">
      <alignment horizontal="right" vertical="center"/>
    </xf>
    <xf numFmtId="0" fontId="20" fillId="5" borderId="1" xfId="0" applyFont="1" applyFill="1" applyBorder="1" applyAlignment="1">
      <alignment horizontal="right" vertical="center" wrapText="1"/>
    </xf>
    <xf numFmtId="0" fontId="20" fillId="5" borderId="1" xfId="0" applyFont="1" applyFill="1" applyBorder="1" applyAlignment="1">
      <alignment horizontal="center" vertical="center"/>
    </xf>
    <xf numFmtId="9" fontId="20" fillId="5" borderId="1" xfId="0" applyNumberFormat="1" applyFont="1" applyFill="1" applyBorder="1" applyAlignment="1">
      <alignment horizontal="center" vertical="center"/>
    </xf>
    <xf numFmtId="165" fontId="20" fillId="5" borderId="1" xfId="0" applyNumberFormat="1" applyFont="1" applyFill="1" applyBorder="1" applyAlignment="1">
      <alignment horizontal="center" vertical="center"/>
    </xf>
    <xf numFmtId="165" fontId="12" fillId="5" borderId="1" xfId="0" applyNumberFormat="1" applyFont="1" applyFill="1" applyBorder="1" applyAlignment="1">
      <alignment horizontal="center" vertical="center"/>
    </xf>
    <xf numFmtId="0" fontId="12" fillId="5" borderId="1" xfId="0" applyFont="1" applyFill="1" applyBorder="1" applyAlignment="1">
      <alignment horizontal="center" vertical="center"/>
    </xf>
    <xf numFmtId="164" fontId="12" fillId="5" borderId="1" xfId="0" applyNumberFormat="1" applyFont="1" applyFill="1" applyBorder="1" applyAlignment="1">
      <alignment horizontal="center" vertical="center"/>
    </xf>
    <xf numFmtId="165" fontId="20" fillId="0" borderId="1" xfId="0" applyNumberFormat="1" applyFont="1" applyBorder="1" applyAlignment="1">
      <alignment horizontal="center" vertical="center"/>
    </xf>
    <xf numFmtId="165" fontId="12" fillId="0" borderId="1" xfId="0" applyNumberFormat="1" applyFont="1" applyBorder="1" applyAlignment="1">
      <alignment horizontal="center" vertical="center"/>
    </xf>
    <xf numFmtId="164" fontId="20" fillId="5" borderId="1" xfId="0" applyNumberFormat="1" applyFont="1" applyFill="1" applyBorder="1" applyAlignment="1">
      <alignment horizontal="center" vertical="center"/>
    </xf>
    <xf numFmtId="2" fontId="20" fillId="5" borderId="1" xfId="0" applyNumberFormat="1" applyFont="1" applyFill="1" applyBorder="1" applyAlignment="1">
      <alignment horizontal="center" vertical="center"/>
    </xf>
    <xf numFmtId="2" fontId="12" fillId="5" borderId="1" xfId="0" applyNumberFormat="1" applyFont="1" applyFill="1" applyBorder="1" applyAlignment="1">
      <alignment horizontal="center" vertical="center"/>
    </xf>
    <xf numFmtId="1" fontId="20" fillId="0" borderId="1" xfId="0" applyNumberFormat="1" applyFont="1" applyBorder="1" applyAlignment="1">
      <alignment horizontal="center" vertical="center"/>
    </xf>
    <xf numFmtId="1" fontId="12" fillId="0" borderId="1" xfId="0" applyNumberFormat="1" applyFont="1" applyBorder="1" applyAlignment="1">
      <alignment horizontal="center" vertical="center"/>
    </xf>
    <xf numFmtId="0" fontId="11" fillId="2" borderId="1" xfId="0" applyFont="1" applyFill="1" applyBorder="1" applyAlignment="1">
      <alignment horizontal="center" vertical="center"/>
    </xf>
    <xf numFmtId="9" fontId="13" fillId="11" borderId="1" xfId="0" applyNumberFormat="1" applyFont="1" applyFill="1" applyBorder="1" applyAlignment="1">
      <alignment horizontal="center" vertical="center"/>
    </xf>
    <xf numFmtId="0" fontId="21" fillId="0" borderId="1" xfId="0" applyFont="1" applyBorder="1" applyAlignment="1">
      <alignment horizontal="center" vertical="center"/>
    </xf>
    <xf numFmtId="0" fontId="23" fillId="0" borderId="1" xfId="0" applyFont="1" applyBorder="1" applyAlignment="1">
      <alignment horizontal="center" vertical="center"/>
    </xf>
    <xf numFmtId="0" fontId="23" fillId="5" borderId="1" xfId="0" applyFont="1" applyFill="1" applyBorder="1" applyAlignment="1">
      <alignment horizontal="center" vertical="center"/>
    </xf>
    <xf numFmtId="0" fontId="26" fillId="11" borderId="1" xfId="0" applyFont="1" applyFill="1" applyBorder="1" applyAlignment="1">
      <alignment horizontal="center" vertical="center"/>
    </xf>
    <xf numFmtId="0" fontId="11" fillId="2" borderId="1" xfId="0" applyFont="1" applyFill="1" applyBorder="1" applyAlignment="1">
      <alignment horizontal="right" vertical="center"/>
    </xf>
    <xf numFmtId="0" fontId="33" fillId="0" borderId="1" xfId="0" applyFont="1" applyBorder="1" applyAlignment="1">
      <alignment horizontal="center" vertical="center"/>
    </xf>
    <xf numFmtId="0" fontId="34" fillId="4" borderId="1" xfId="0" applyFont="1" applyFill="1" applyBorder="1" applyAlignment="1">
      <alignment horizontal="center" vertical="center"/>
    </xf>
    <xf numFmtId="0" fontId="35" fillId="2" borderId="1" xfId="0" applyFont="1" applyFill="1" applyBorder="1" applyAlignment="1">
      <alignment horizontal="center" vertical="center" wrapText="1"/>
    </xf>
    <xf numFmtId="0" fontId="36" fillId="4" borderId="1" xfId="0" applyFont="1" applyFill="1" applyBorder="1" applyAlignment="1">
      <alignment horizontal="center" vertical="center"/>
    </xf>
    <xf numFmtId="164" fontId="36" fillId="4" borderId="1" xfId="0" applyNumberFormat="1" applyFont="1" applyFill="1" applyBorder="1" applyAlignment="1">
      <alignment horizontal="center" vertical="center"/>
    </xf>
    <xf numFmtId="0" fontId="37" fillId="4" borderId="1" xfId="0" applyFont="1" applyFill="1" applyBorder="1" applyAlignment="1">
      <alignment horizontal="center" vertical="center"/>
    </xf>
    <xf numFmtId="0" fontId="14" fillId="7" borderId="1" xfId="0" applyFont="1" applyFill="1" applyBorder="1" applyAlignment="1">
      <alignment horizontal="center" vertical="center"/>
    </xf>
    <xf numFmtId="0" fontId="15" fillId="8" borderId="1" xfId="0" applyFont="1" applyFill="1" applyBorder="1" applyAlignment="1">
      <alignment horizontal="center" vertical="center"/>
    </xf>
    <xf numFmtId="0" fontId="16" fillId="9" borderId="1" xfId="0" applyFont="1" applyFill="1" applyBorder="1" applyAlignment="1">
      <alignment horizontal="center" vertical="center"/>
    </xf>
    <xf numFmtId="0" fontId="17" fillId="10" borderId="1" xfId="0" applyFont="1" applyFill="1" applyBorder="1" applyAlignment="1">
      <alignment horizontal="center" vertical="center"/>
    </xf>
    <xf numFmtId="0" fontId="22" fillId="0" borderId="1" xfId="0" applyFont="1" applyBorder="1" applyAlignment="1">
      <alignment horizontal="center" vertical="center"/>
    </xf>
    <xf numFmtId="0" fontId="43" fillId="4" borderId="1" xfId="0" applyFont="1" applyFill="1" applyBorder="1" applyAlignment="1">
      <alignment horizontal="center" vertical="center"/>
    </xf>
    <xf numFmtId="0" fontId="44" fillId="4" borderId="1" xfId="0" applyFont="1" applyFill="1" applyBorder="1" applyAlignment="1">
      <alignment horizontal="center" vertical="center"/>
    </xf>
    <xf numFmtId="0" fontId="45" fillId="4" borderId="1" xfId="0" applyFont="1" applyFill="1" applyBorder="1" applyAlignment="1">
      <alignment horizontal="center" vertical="center"/>
    </xf>
    <xf numFmtId="0" fontId="46" fillId="4" borderId="1" xfId="0" applyFont="1" applyFill="1" applyBorder="1" applyAlignment="1">
      <alignment horizontal="center" vertical="center"/>
    </xf>
    <xf numFmtId="9" fontId="42" fillId="4" borderId="1" xfId="0" applyNumberFormat="1" applyFont="1" applyFill="1" applyBorder="1" applyAlignment="1">
      <alignment horizontal="center" vertical="center"/>
    </xf>
    <xf numFmtId="9" fontId="12" fillId="0" borderId="1" xfId="0" applyNumberFormat="1" applyFont="1" applyBorder="1" applyAlignment="1">
      <alignment horizontal="center" vertical="center" wrapText="1"/>
    </xf>
    <xf numFmtId="164" fontId="12" fillId="0" borderId="1" xfId="0" applyNumberFormat="1" applyFont="1" applyBorder="1" applyAlignment="1">
      <alignment horizontal="center" vertical="center" wrapText="1"/>
    </xf>
    <xf numFmtId="9" fontId="12" fillId="5" borderId="1" xfId="0" applyNumberFormat="1" applyFont="1" applyFill="1" applyBorder="1" applyAlignment="1">
      <alignment horizontal="center" vertical="center" wrapText="1"/>
    </xf>
    <xf numFmtId="164" fontId="12" fillId="5" borderId="1" xfId="0" applyNumberFormat="1" applyFont="1" applyFill="1" applyBorder="1" applyAlignment="1">
      <alignment horizontal="center" vertical="center" wrapText="1"/>
    </xf>
    <xf numFmtId="0" fontId="12" fillId="0" borderId="1" xfId="0" applyFont="1" applyBorder="1" applyAlignment="1">
      <alignment horizontal="right" vertical="center"/>
    </xf>
    <xf numFmtId="9" fontId="12" fillId="0" borderId="1" xfId="0" applyNumberFormat="1" applyFont="1" applyBorder="1" applyAlignment="1">
      <alignment horizontal="center" vertical="center"/>
    </xf>
    <xf numFmtId="0" fontId="12" fillId="5" borderId="1" xfId="0" applyFont="1" applyFill="1" applyBorder="1" applyAlignment="1">
      <alignment horizontal="right" vertical="center"/>
    </xf>
    <xf numFmtId="9" fontId="12" fillId="5" borderId="1" xfId="0" applyNumberFormat="1" applyFont="1" applyFill="1" applyBorder="1" applyAlignment="1">
      <alignment horizontal="center" vertical="center"/>
    </xf>
    <xf numFmtId="0" fontId="9" fillId="2" borderId="0" xfId="0" applyFont="1" applyFill="1" applyAlignment="1">
      <alignment horizontal="center" vertical="center"/>
    </xf>
    <xf numFmtId="0" fontId="0" fillId="0" borderId="0" xfId="0"/>
    <xf numFmtId="0" fontId="42" fillId="4" borderId="1" xfId="0" applyFont="1" applyFill="1" applyBorder="1" applyAlignment="1">
      <alignment horizontal="center" vertical="center"/>
    </xf>
    <xf numFmtId="0" fontId="41" fillId="4" borderId="1" xfId="0" applyFont="1" applyFill="1" applyBorder="1" applyAlignment="1">
      <alignment horizontal="center" vertical="center"/>
    </xf>
    <xf numFmtId="0" fontId="11" fillId="2" borderId="1" xfId="0" applyFont="1" applyFill="1" applyBorder="1" applyAlignment="1">
      <alignment horizontal="center" vertical="center"/>
    </xf>
    <xf numFmtId="0" fontId="13" fillId="6" borderId="1" xfId="0" applyFont="1" applyFill="1" applyBorder="1" applyAlignment="1">
      <alignment horizontal="center" vertical="center"/>
    </xf>
    <xf numFmtId="0" fontId="26" fillId="2" borderId="1" xfId="0" applyFont="1" applyFill="1" applyBorder="1" applyAlignment="1">
      <alignment horizontal="center" vertical="center"/>
    </xf>
    <xf numFmtId="0" fontId="10" fillId="4" borderId="0" xfId="0" applyFont="1" applyFill="1" applyAlignment="1">
      <alignment horizontal="center" vertical="center" wrapText="1"/>
    </xf>
    <xf numFmtId="0" fontId="30" fillId="4" borderId="1" xfId="0" applyFont="1" applyFill="1" applyBorder="1" applyAlignment="1">
      <alignment horizontal="right" vertical="center" wrapText="1"/>
    </xf>
    <xf numFmtId="164" fontId="40" fillId="4" borderId="1" xfId="0" applyNumberFormat="1" applyFont="1" applyFill="1" applyBorder="1" applyAlignment="1">
      <alignment horizontal="center" vertical="center"/>
    </xf>
    <xf numFmtId="0" fontId="47" fillId="14" borderId="1" xfId="0" applyFont="1" applyFill="1" applyBorder="1" applyAlignment="1">
      <alignment horizontal="center" vertical="center"/>
    </xf>
    <xf numFmtId="0" fontId="8" fillId="3" borderId="1" xfId="0" applyFont="1" applyFill="1" applyBorder="1" applyAlignment="1">
      <alignment horizontal="right" vertical="center" wrapText="1"/>
    </xf>
    <xf numFmtId="0" fontId="1" fillId="0" borderId="0" xfId="0" applyFont="1" applyAlignment="1">
      <alignment horizontal="center" vertical="center" wrapText="1"/>
    </xf>
    <xf numFmtId="0" fontId="7" fillId="0" borderId="1" xfId="0" applyFont="1" applyBorder="1" applyAlignment="1">
      <alignment horizontal="right" vertical="center"/>
    </xf>
    <xf numFmtId="0" fontId="0" fillId="0" borderId="1" xfId="0" applyBorder="1"/>
    <xf numFmtId="0" fontId="3" fillId="0" borderId="0" xfId="0" applyFont="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horizontal="center" vertical="center" wrapText="1"/>
    </xf>
    <xf numFmtId="0" fontId="13" fillId="6" borderId="0" xfId="0" applyFont="1" applyFill="1" applyAlignment="1">
      <alignment horizontal="center" vertical="center"/>
    </xf>
    <xf numFmtId="0" fontId="22" fillId="4" borderId="1" xfId="0" applyFont="1" applyFill="1" applyBorder="1" applyAlignment="1">
      <alignment horizontal="right" vertical="center" wrapText="1"/>
    </xf>
    <xf numFmtId="0" fontId="18" fillId="12" borderId="2" xfId="0" applyFont="1" applyFill="1" applyBorder="1" applyAlignment="1">
      <alignment horizontal="center" vertical="center"/>
    </xf>
    <xf numFmtId="0" fontId="10" fillId="0" borderId="0" xfId="0" applyFont="1" applyAlignment="1">
      <alignment horizontal="right" vertical="center"/>
    </xf>
    <xf numFmtId="0" fontId="39" fillId="3" borderId="1" xfId="0" applyFont="1" applyFill="1" applyBorder="1" applyAlignment="1">
      <alignment horizontal="right" vertical="center" wrapText="1"/>
    </xf>
    <xf numFmtId="0" fontId="26" fillId="6" borderId="1" xfId="0" applyFont="1" applyFill="1" applyBorder="1" applyAlignment="1">
      <alignment horizontal="center" vertical="center"/>
    </xf>
    <xf numFmtId="0" fontId="31" fillId="0" borderId="1" xfId="0" applyFont="1" applyBorder="1" applyAlignment="1">
      <alignment horizontal="right" vertical="center"/>
    </xf>
    <xf numFmtId="9" fontId="31" fillId="0" borderId="1" xfId="0" applyNumberFormat="1" applyFont="1" applyBorder="1" applyAlignment="1">
      <alignment horizontal="right" vertical="center"/>
    </xf>
    <xf numFmtId="0" fontId="38" fillId="0" borderId="1" xfId="0" applyFont="1" applyBorder="1" applyAlignment="1">
      <alignment horizontal="center" vertical="center" wrapText="1"/>
    </xf>
    <xf numFmtId="0" fontId="24" fillId="0" borderId="0" xfId="0" applyFont="1" applyAlignment="1">
      <alignment horizontal="left" vertical="center"/>
    </xf>
    <xf numFmtId="0" fontId="31" fillId="0" borderId="1" xfId="0" applyFont="1" applyBorder="1" applyAlignment="1">
      <alignment horizontal="right" vertical="center" wrapText="1"/>
    </xf>
    <xf numFmtId="0" fontId="30" fillId="4" borderId="1" xfId="0" applyFont="1" applyFill="1" applyBorder="1" applyAlignment="1">
      <alignment horizontal="center" vertical="center"/>
    </xf>
    <xf numFmtId="0" fontId="25" fillId="0" borderId="0" xfId="0" applyFont="1" applyAlignment="1">
      <alignment horizontal="left" vertical="center"/>
    </xf>
    <xf numFmtId="0" fontId="27" fillId="12" borderId="2" xfId="0" applyFont="1" applyFill="1" applyBorder="1" applyAlignment="1">
      <alignment horizontal="center" vertical="center"/>
    </xf>
    <xf numFmtId="0" fontId="32" fillId="13" borderId="1" xfId="0" applyFont="1" applyFill="1" applyBorder="1" applyAlignment="1">
      <alignment horizontal="right" vertical="center" wrapText="1"/>
    </xf>
    <xf numFmtId="0" fontId="29" fillId="2" borderId="2" xfId="0" applyFont="1" applyFill="1" applyBorder="1" applyAlignment="1">
      <alignment horizontal="center" vertical="center"/>
    </xf>
    <xf numFmtId="0" fontId="28" fillId="4" borderId="1" xfId="0" applyFont="1" applyFill="1" applyBorder="1" applyAlignment="1">
      <alignment horizontal="center" vertical="center"/>
    </xf>
  </cellXfs>
  <cellStyles count="1">
    <cellStyle name="Normal" xfId="0" builtinId="0"/>
  </cellStyles>
  <dxfs count="34">
    <dxf>
      <font>
        <b/>
        <sz val="9"/>
        <color rgb="FF12406B"/>
        <name val="Arial"/>
      </font>
      <fill>
        <patternFill patternType="solid">
          <fgColor rgb="FFBDD7EE"/>
        </patternFill>
      </fill>
    </dxf>
    <dxf>
      <font>
        <b/>
        <sz val="9"/>
        <color rgb="FF1F5C2E"/>
        <name val="Arial"/>
      </font>
      <fill>
        <patternFill patternType="solid">
          <fgColor rgb="FFD5E8D4"/>
        </patternFill>
      </fill>
    </dxf>
    <dxf>
      <font>
        <b/>
        <sz val="9"/>
        <color rgb="FF8A6D1B"/>
        <name val="Arial"/>
      </font>
      <fill>
        <patternFill patternType="solid">
          <fgColor rgb="FFFDE9C8"/>
        </patternFill>
      </fill>
    </dxf>
    <dxf>
      <font>
        <b/>
        <sz val="9"/>
        <color rgb="FF8A1B1B"/>
        <name val="Arial"/>
      </font>
      <fill>
        <patternFill patternType="solid">
          <fgColor rgb="FFF8CECC"/>
        </patternFill>
      </fill>
    </dxf>
    <dxf>
      <font>
        <b/>
        <sz val="9"/>
        <color rgb="FF12406B"/>
        <name val="Arial"/>
      </font>
      <fill>
        <patternFill patternType="solid">
          <fgColor rgb="FFBDD7EE"/>
        </patternFill>
      </fill>
    </dxf>
    <dxf>
      <font>
        <b/>
        <sz val="9"/>
        <color rgb="FF1F5C2E"/>
        <name val="Arial"/>
      </font>
      <fill>
        <patternFill patternType="solid">
          <fgColor rgb="FFD5E8D4"/>
        </patternFill>
      </fill>
    </dxf>
    <dxf>
      <font>
        <b/>
        <sz val="9"/>
        <color rgb="FF8A6D1B"/>
        <name val="Arial"/>
      </font>
      <fill>
        <patternFill patternType="solid">
          <fgColor rgb="FFFDE9C8"/>
        </patternFill>
      </fill>
    </dxf>
    <dxf>
      <font>
        <b/>
        <sz val="9"/>
        <color rgb="FF8A1B1B"/>
        <name val="Arial"/>
      </font>
      <fill>
        <patternFill patternType="solid">
          <fgColor rgb="FFF8CECC"/>
        </patternFill>
      </fill>
    </dxf>
    <dxf>
      <font>
        <b/>
        <sz val="16"/>
        <color rgb="FF12406B"/>
        <name val="Arial"/>
      </font>
      <fill>
        <patternFill patternType="solid">
          <fgColor rgb="FFBDD7EE"/>
        </patternFill>
      </fill>
    </dxf>
    <dxf>
      <font>
        <b/>
        <sz val="16"/>
        <color rgb="FF1F5C2E"/>
        <name val="Arial"/>
      </font>
      <fill>
        <patternFill patternType="solid">
          <fgColor rgb="FFD5E8D4"/>
        </patternFill>
      </fill>
    </dxf>
    <dxf>
      <font>
        <b/>
        <sz val="16"/>
        <color rgb="FF8A6D1B"/>
        <name val="Arial"/>
      </font>
      <fill>
        <patternFill patternType="solid">
          <fgColor rgb="FFFDE9C8"/>
        </patternFill>
      </fill>
    </dxf>
    <dxf>
      <font>
        <b/>
        <sz val="16"/>
        <color rgb="FF8A1B1B"/>
        <name val="Arial"/>
      </font>
      <fill>
        <patternFill patternType="solid">
          <fgColor rgb="FFF8CECC"/>
        </patternFill>
      </fill>
    </dxf>
    <dxf>
      <font>
        <b/>
        <sz val="12"/>
        <color rgb="FF8A1B1B"/>
        <name val="Arial"/>
      </font>
      <fill>
        <patternFill patternType="solid">
          <fgColor rgb="FFF8CECC"/>
        </patternFill>
      </fill>
    </dxf>
    <dxf>
      <font>
        <b/>
        <sz val="12"/>
        <color rgb="FF1F5C2E"/>
        <name val="Arial"/>
      </font>
      <fill>
        <patternFill patternType="solid">
          <fgColor rgb="FFD5E8D4"/>
        </patternFill>
      </fill>
    </dxf>
    <dxf>
      <font>
        <b/>
        <sz val="12"/>
        <color rgb="FF12406B"/>
        <name val="Arial"/>
      </font>
      <fill>
        <patternFill patternType="solid">
          <fgColor rgb="FFBDD7EE"/>
        </patternFill>
      </fill>
    </dxf>
    <dxf>
      <font>
        <b/>
        <sz val="12"/>
        <color rgb="FF1F5C2E"/>
        <name val="Arial"/>
      </font>
      <fill>
        <patternFill patternType="solid">
          <fgColor rgb="FFD5E8D4"/>
        </patternFill>
      </fill>
    </dxf>
    <dxf>
      <font>
        <b/>
        <sz val="12"/>
        <color rgb="FF8A6D1B"/>
        <name val="Arial"/>
      </font>
      <fill>
        <patternFill patternType="solid">
          <fgColor rgb="FFFDE9C8"/>
        </patternFill>
      </fill>
    </dxf>
    <dxf>
      <font>
        <b/>
        <sz val="12"/>
        <color rgb="FF8A1B1B"/>
        <name val="Arial"/>
      </font>
      <fill>
        <patternFill patternType="solid">
          <fgColor rgb="FFF8CECC"/>
        </patternFill>
      </fill>
    </dxf>
    <dxf>
      <font>
        <b/>
        <sz val="9"/>
        <color rgb="FF8A1B1B"/>
        <name val="Arial"/>
      </font>
    </dxf>
    <dxf>
      <font>
        <b/>
        <sz val="9"/>
        <color rgb="FF1F5C2E"/>
        <name val="Arial"/>
      </font>
    </dxf>
    <dxf>
      <font>
        <b/>
        <sz val="9"/>
        <color rgb="FF12406B"/>
        <name val="Arial"/>
      </font>
      <fill>
        <patternFill patternType="solid">
          <fgColor rgb="FFBDD7EE"/>
        </patternFill>
      </fill>
    </dxf>
    <dxf>
      <font>
        <b/>
        <sz val="9"/>
        <color rgb="FF1F5C2E"/>
        <name val="Arial"/>
      </font>
      <fill>
        <patternFill patternType="solid">
          <fgColor rgb="FFD5E8D4"/>
        </patternFill>
      </fill>
    </dxf>
    <dxf>
      <font>
        <b/>
        <sz val="9"/>
        <color rgb="FF8A6D1B"/>
        <name val="Arial"/>
      </font>
      <fill>
        <patternFill patternType="solid">
          <fgColor rgb="FFFDE9C8"/>
        </patternFill>
      </fill>
    </dxf>
    <dxf>
      <font>
        <b/>
        <sz val="9"/>
        <color rgb="FF8A1B1B"/>
        <name val="Arial"/>
      </font>
      <fill>
        <patternFill patternType="solid">
          <fgColor rgb="FFF8CECC"/>
        </patternFill>
      </fill>
    </dxf>
    <dxf>
      <font>
        <sz val="8.5"/>
        <color rgb="FF0E6655"/>
        <name val="Arial"/>
      </font>
      <fill>
        <patternFill patternType="solid">
          <fgColor rgb="FFD0F0EC"/>
        </patternFill>
      </fill>
    </dxf>
    <dxf>
      <font>
        <sz val="8.5"/>
        <color rgb="FF1F4E79"/>
        <name val="Arial"/>
      </font>
      <fill>
        <patternFill patternType="solid">
          <fgColor rgb="FFDAE8FC"/>
        </patternFill>
      </fill>
    </dxf>
    <dxf>
      <font>
        <sz val="8.5"/>
        <color rgb="FF0E6655"/>
        <name val="Arial"/>
      </font>
      <fill>
        <patternFill patternType="solid">
          <fgColor rgb="FFD0F0EC"/>
        </patternFill>
      </fill>
    </dxf>
    <dxf>
      <font>
        <sz val="8.5"/>
        <color rgb="FF1F4E79"/>
        <name val="Arial"/>
      </font>
      <fill>
        <patternFill patternType="solid">
          <fgColor rgb="FFDAE8FC"/>
        </patternFill>
      </fill>
    </dxf>
    <dxf>
      <font>
        <b/>
        <sz val="9"/>
        <color rgb="FF12406B"/>
        <name val="Arial"/>
      </font>
      <fill>
        <patternFill patternType="solid">
          <fgColor rgb="FFBDD7EE"/>
        </patternFill>
      </fill>
    </dxf>
    <dxf>
      <font>
        <b/>
        <sz val="9"/>
        <color rgb="FF1F5C2E"/>
        <name val="Arial"/>
      </font>
      <fill>
        <patternFill patternType="solid">
          <fgColor rgb="FFD5E8D4"/>
        </patternFill>
      </fill>
    </dxf>
    <dxf>
      <font>
        <b/>
        <sz val="9"/>
        <color rgb="FF8A6D1B"/>
        <name val="Arial"/>
      </font>
      <fill>
        <patternFill patternType="solid">
          <fgColor rgb="FFFDE9C8"/>
        </patternFill>
      </fill>
    </dxf>
    <dxf>
      <font>
        <b/>
        <sz val="9"/>
        <color rgb="FF8A1B1B"/>
        <name val="Arial"/>
      </font>
      <fill>
        <patternFill patternType="solid">
          <fgColor rgb="FFF8CECC"/>
        </patternFill>
      </fill>
    </dxf>
    <dxf>
      <font>
        <b/>
        <sz val="9"/>
        <color rgb="FF8A1B1B"/>
        <name val="Arial"/>
      </font>
      <fill>
        <patternFill patternType="solid">
          <fgColor rgb="FFF8CECC"/>
        </patternFill>
      </fill>
    </dxf>
    <dxf>
      <font>
        <b/>
        <sz val="9"/>
        <color rgb="FF1F5C2E"/>
        <name val="Arial"/>
      </font>
      <fill>
        <patternFill patternType="solid">
          <fgColor rgb="FFD5E8D4"/>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1016000</xdr:colOff>
      <xdr:row>2</xdr:row>
      <xdr:rowOff>12700</xdr:rowOff>
    </xdr:from>
    <xdr:ext cx="2714625" cy="120015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0819387175" y="444500"/>
          <a:ext cx="2714625" cy="12001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xdr:row>
      <xdr:rowOff>0</xdr:rowOff>
    </xdr:from>
    <xdr:ext cx="1257300" cy="552450"/>
    <xdr:pic>
      <xdr:nvPicPr>
        <xdr:cNvPr id="2" name="Image 1" descr="Picture">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8A84B"/>
  </sheetPr>
  <dimension ref="B1:E45"/>
  <sheetViews>
    <sheetView showGridLines="0" rightToLeft="1" workbookViewId="0">
      <selection activeCell="L12" sqref="L12"/>
    </sheetView>
  </sheetViews>
  <sheetFormatPr defaultRowHeight="14" x14ac:dyDescent="0.3"/>
  <cols>
    <col min="1" max="1" width="3" customWidth="1"/>
    <col min="2" max="2" width="24" customWidth="1"/>
    <col min="3" max="4" width="34" customWidth="1"/>
    <col min="5" max="5" width="22" customWidth="1"/>
    <col min="6" max="6" width="3" customWidth="1"/>
  </cols>
  <sheetData>
    <row r="1" spans="2:5" ht="17" customHeight="1" x14ac:dyDescent="0.3"/>
    <row r="2" spans="2:5" ht="17" customHeight="1" x14ac:dyDescent="0.3"/>
    <row r="3" spans="2:5" ht="17" customHeight="1" x14ac:dyDescent="0.3"/>
    <row r="4" spans="2:5" ht="17" customHeight="1" x14ac:dyDescent="0.3"/>
    <row r="5" spans="2:5" ht="17" customHeight="1" x14ac:dyDescent="0.3"/>
    <row r="6" spans="2:5" ht="17" customHeight="1" x14ac:dyDescent="0.3"/>
    <row r="7" spans="2:5" ht="17" customHeight="1" x14ac:dyDescent="0.3"/>
    <row r="8" spans="2:5" ht="17" customHeight="1" x14ac:dyDescent="0.3"/>
    <row r="9" spans="2:5" ht="17" customHeight="1" x14ac:dyDescent="0.3"/>
    <row r="10" spans="2:5" ht="17" customHeight="1" x14ac:dyDescent="0.3"/>
    <row r="11" spans="2:5" ht="32" customHeight="1" x14ac:dyDescent="0.3">
      <c r="B11" s="79" t="s">
        <v>0</v>
      </c>
      <c r="C11" s="68"/>
      <c r="D11" s="68"/>
      <c r="E11" s="68"/>
    </row>
    <row r="12" spans="2:5" ht="17" customHeight="1" x14ac:dyDescent="0.3">
      <c r="B12" s="84" t="s">
        <v>1</v>
      </c>
      <c r="C12" s="68"/>
      <c r="D12" s="68"/>
      <c r="E12" s="68"/>
    </row>
    <row r="13" spans="2:5" ht="17" customHeight="1" x14ac:dyDescent="0.3"/>
    <row r="14" spans="2:5" ht="24" customHeight="1" x14ac:dyDescent="0.3">
      <c r="B14" s="82" t="s">
        <v>2</v>
      </c>
      <c r="C14" s="68"/>
      <c r="D14" s="68"/>
      <c r="E14" s="68"/>
    </row>
    <row r="15" spans="2:5" ht="17" customHeight="1" x14ac:dyDescent="0.3"/>
    <row r="16" spans="2:5" ht="17" customHeight="1" x14ac:dyDescent="0.3">
      <c r="B16" s="85" t="s">
        <v>3</v>
      </c>
      <c r="C16" s="68"/>
      <c r="D16" s="68"/>
      <c r="E16" s="68"/>
    </row>
    <row r="17" spans="2:5" ht="17" customHeight="1" x14ac:dyDescent="0.3">
      <c r="B17" s="83" t="s">
        <v>4</v>
      </c>
      <c r="C17" s="68"/>
      <c r="D17" s="68"/>
      <c r="E17" s="68"/>
    </row>
    <row r="18" spans="2:5" ht="17" customHeight="1" x14ac:dyDescent="0.3"/>
    <row r="19" spans="2:5" ht="17" customHeight="1" x14ac:dyDescent="0.3"/>
    <row r="20" spans="2:5" ht="19" customHeight="1" x14ac:dyDescent="0.3">
      <c r="B20" s="1" t="s">
        <v>5</v>
      </c>
      <c r="C20" s="80" t="s">
        <v>6</v>
      </c>
      <c r="D20" s="81"/>
      <c r="E20" s="81"/>
    </row>
    <row r="21" spans="2:5" ht="19" customHeight="1" x14ac:dyDescent="0.3">
      <c r="B21" s="1" t="s">
        <v>7</v>
      </c>
      <c r="C21" s="80" t="s">
        <v>8</v>
      </c>
      <c r="D21" s="81"/>
      <c r="E21" s="81"/>
    </row>
    <row r="22" spans="2:5" ht="19" customHeight="1" x14ac:dyDescent="0.3">
      <c r="B22" s="1" t="s">
        <v>9</v>
      </c>
      <c r="C22" s="80" t="s">
        <v>10</v>
      </c>
      <c r="D22" s="81"/>
      <c r="E22" s="81"/>
    </row>
    <row r="23" spans="2:5" ht="19" customHeight="1" x14ac:dyDescent="0.3">
      <c r="B23" s="1" t="s">
        <v>11</v>
      </c>
      <c r="C23" s="80" t="s">
        <v>12</v>
      </c>
      <c r="D23" s="81"/>
      <c r="E23" s="81"/>
    </row>
    <row r="24" spans="2:5" ht="19" customHeight="1" x14ac:dyDescent="0.3">
      <c r="B24" s="1" t="s">
        <v>13</v>
      </c>
      <c r="C24" s="80" t="s">
        <v>14</v>
      </c>
      <c r="D24" s="81"/>
      <c r="E24" s="81"/>
    </row>
    <row r="25" spans="2:5" ht="19" customHeight="1" x14ac:dyDescent="0.3">
      <c r="B25" s="1" t="s">
        <v>15</v>
      </c>
      <c r="C25" s="80" t="s">
        <v>16</v>
      </c>
      <c r="D25" s="81"/>
      <c r="E25" s="81"/>
    </row>
    <row r="26" spans="2:5" ht="17" customHeight="1" x14ac:dyDescent="0.3"/>
    <row r="27" spans="2:5" ht="17" customHeight="1" x14ac:dyDescent="0.3">
      <c r="B27" s="78" t="s">
        <v>17</v>
      </c>
      <c r="C27" s="68"/>
      <c r="D27" s="68"/>
      <c r="E27" s="68"/>
    </row>
    <row r="28" spans="2:5" ht="17" customHeight="1" x14ac:dyDescent="0.3">
      <c r="B28" s="68"/>
      <c r="C28" s="68"/>
      <c r="D28" s="68"/>
      <c r="E28" s="68"/>
    </row>
    <row r="29" spans="2:5" ht="17" customHeight="1" x14ac:dyDescent="0.3">
      <c r="B29" s="68"/>
      <c r="C29" s="68"/>
      <c r="D29" s="68"/>
      <c r="E29" s="68"/>
    </row>
    <row r="30" spans="2:5" ht="17" customHeight="1" x14ac:dyDescent="0.3">
      <c r="B30" s="68"/>
      <c r="C30" s="68"/>
      <c r="D30" s="68"/>
      <c r="E30" s="68"/>
    </row>
    <row r="31" spans="2:5" ht="17" customHeight="1" x14ac:dyDescent="0.3"/>
    <row r="32" spans="2:5" ht="17" customHeight="1" x14ac:dyDescent="0.3"/>
    <row r="33" ht="17" customHeight="1" x14ac:dyDescent="0.3"/>
    <row r="34" ht="17" customHeight="1" x14ac:dyDescent="0.3"/>
    <row r="35" ht="17" customHeight="1" x14ac:dyDescent="0.3"/>
    <row r="36" ht="17" customHeight="1" x14ac:dyDescent="0.3"/>
    <row r="37" ht="17" customHeight="1" x14ac:dyDescent="0.3"/>
    <row r="38" ht="17" customHeight="1" x14ac:dyDescent="0.3"/>
    <row r="39" ht="17" customHeight="1" x14ac:dyDescent="0.3"/>
    <row r="40" ht="17" customHeight="1" x14ac:dyDescent="0.3"/>
    <row r="41" ht="17" customHeight="1" x14ac:dyDescent="0.3"/>
    <row r="42" ht="17" customHeight="1" x14ac:dyDescent="0.3"/>
    <row r="43" ht="17" customHeight="1" x14ac:dyDescent="0.3"/>
    <row r="44" ht="17" customHeight="1" x14ac:dyDescent="0.3"/>
    <row r="45" ht="17" customHeight="1" x14ac:dyDescent="0.3"/>
  </sheetData>
  <mergeCells count="12">
    <mergeCell ref="B27:E30"/>
    <mergeCell ref="B11:E11"/>
    <mergeCell ref="C21:E21"/>
    <mergeCell ref="C20:E20"/>
    <mergeCell ref="C25:E25"/>
    <mergeCell ref="B14:E14"/>
    <mergeCell ref="C24:E24"/>
    <mergeCell ref="B17:E17"/>
    <mergeCell ref="B12:E12"/>
    <mergeCell ref="C23:E23"/>
    <mergeCell ref="C22:E22"/>
    <mergeCell ref="B16:E16"/>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A2E5E"/>
    <pageSetUpPr fitToPage="1"/>
  </sheetPr>
  <dimension ref="A1:D27"/>
  <sheetViews>
    <sheetView rightToLeft="1" workbookViewId="0">
      <selection activeCell="B4" sqref="B4"/>
    </sheetView>
  </sheetViews>
  <sheetFormatPr defaultRowHeight="14" x14ac:dyDescent="0.3"/>
  <cols>
    <col min="1" max="1" width="8" customWidth="1"/>
    <col min="2" max="2" width="26" customWidth="1"/>
    <col min="3" max="3" width="62" customWidth="1"/>
    <col min="4" max="4" width="34" customWidth="1"/>
  </cols>
  <sheetData>
    <row r="1" spans="1:4" ht="26" customHeight="1" x14ac:dyDescent="0.3">
      <c r="A1" s="67" t="s">
        <v>18</v>
      </c>
      <c r="B1" s="68"/>
      <c r="C1" s="68"/>
      <c r="D1" s="68"/>
    </row>
    <row r="2" spans="1:4" ht="22" customHeight="1" x14ac:dyDescent="0.3">
      <c r="A2" s="74" t="s">
        <v>19</v>
      </c>
      <c r="B2" s="68"/>
      <c r="C2" s="68"/>
      <c r="D2" s="68"/>
    </row>
    <row r="4" spans="1:4" ht="26" customHeight="1" x14ac:dyDescent="0.3">
      <c r="A4" s="2" t="s">
        <v>20</v>
      </c>
      <c r="B4" s="2" t="s">
        <v>21</v>
      </c>
      <c r="C4" s="2" t="s">
        <v>22</v>
      </c>
      <c r="D4" s="2" t="s">
        <v>23</v>
      </c>
    </row>
    <row r="5" spans="1:4" ht="28" customHeight="1" x14ac:dyDescent="0.3">
      <c r="A5" s="3" t="s">
        <v>24</v>
      </c>
      <c r="B5" s="4" t="s">
        <v>25</v>
      </c>
      <c r="C5" s="4" t="s">
        <v>26</v>
      </c>
      <c r="D5" s="4" t="s">
        <v>27</v>
      </c>
    </row>
    <row r="6" spans="1:4" ht="28" customHeight="1" x14ac:dyDescent="0.3">
      <c r="A6" s="5" t="s">
        <v>28</v>
      </c>
      <c r="B6" s="6" t="s">
        <v>29</v>
      </c>
      <c r="C6" s="6" t="s">
        <v>30</v>
      </c>
      <c r="D6" s="6" t="s">
        <v>31</v>
      </c>
    </row>
    <row r="7" spans="1:4" ht="28" customHeight="1" x14ac:dyDescent="0.3">
      <c r="A7" s="3" t="s">
        <v>32</v>
      </c>
      <c r="B7" s="4" t="s">
        <v>33</v>
      </c>
      <c r="C7" s="4" t="s">
        <v>34</v>
      </c>
      <c r="D7" s="4" t="s">
        <v>35</v>
      </c>
    </row>
    <row r="8" spans="1:4" ht="28" customHeight="1" x14ac:dyDescent="0.3">
      <c r="A8" s="5" t="s">
        <v>36</v>
      </c>
      <c r="B8" s="6" t="s">
        <v>37</v>
      </c>
      <c r="C8" s="6" t="s">
        <v>38</v>
      </c>
      <c r="D8" s="6" t="s">
        <v>39</v>
      </c>
    </row>
    <row r="9" spans="1:4" ht="28" customHeight="1" x14ac:dyDescent="0.3">
      <c r="A9" s="3" t="s">
        <v>40</v>
      </c>
      <c r="B9" s="4" t="s">
        <v>41</v>
      </c>
      <c r="C9" s="4" t="s">
        <v>42</v>
      </c>
      <c r="D9" s="4" t="s">
        <v>43</v>
      </c>
    </row>
    <row r="10" spans="1:4" ht="28" customHeight="1" x14ac:dyDescent="0.3">
      <c r="A10" s="5" t="s">
        <v>44</v>
      </c>
      <c r="B10" s="6" t="s">
        <v>45</v>
      </c>
      <c r="C10" s="6" t="s">
        <v>46</v>
      </c>
      <c r="D10" s="6" t="s">
        <v>47</v>
      </c>
    </row>
    <row r="11" spans="1:4" ht="28" customHeight="1" x14ac:dyDescent="0.3">
      <c r="A11" s="3" t="s">
        <v>48</v>
      </c>
      <c r="B11" s="4" t="s">
        <v>49</v>
      </c>
      <c r="C11" s="4" t="s">
        <v>50</v>
      </c>
      <c r="D11" s="4" t="s">
        <v>51</v>
      </c>
    </row>
    <row r="12" spans="1:4" ht="28" customHeight="1" x14ac:dyDescent="0.3">
      <c r="A12" s="5" t="s">
        <v>52</v>
      </c>
      <c r="B12" s="6" t="s">
        <v>53</v>
      </c>
      <c r="C12" s="6" t="s">
        <v>54</v>
      </c>
      <c r="D12" s="6" t="s">
        <v>55</v>
      </c>
    </row>
    <row r="13" spans="1:4" ht="28" customHeight="1" x14ac:dyDescent="0.3">
      <c r="A13" s="3" t="s">
        <v>56</v>
      </c>
      <c r="B13" s="4" t="s">
        <v>57</v>
      </c>
      <c r="C13" s="4" t="s">
        <v>58</v>
      </c>
      <c r="D13" s="4" t="s">
        <v>59</v>
      </c>
    </row>
    <row r="14" spans="1:4" ht="28" customHeight="1" x14ac:dyDescent="0.3">
      <c r="A14" s="5" t="s">
        <v>60</v>
      </c>
      <c r="B14" s="6" t="s">
        <v>61</v>
      </c>
      <c r="C14" s="6" t="s">
        <v>62</v>
      </c>
      <c r="D14" s="6" t="s">
        <v>63</v>
      </c>
    </row>
    <row r="15" spans="1:4" ht="28" customHeight="1" x14ac:dyDescent="0.3">
      <c r="A15" s="3" t="s">
        <v>64</v>
      </c>
      <c r="B15" s="4" t="s">
        <v>65</v>
      </c>
      <c r="C15" s="4" t="s">
        <v>66</v>
      </c>
      <c r="D15" s="4" t="s">
        <v>67</v>
      </c>
    </row>
    <row r="16" spans="1:4" ht="28" customHeight="1" x14ac:dyDescent="0.3">
      <c r="A16" s="5" t="s">
        <v>68</v>
      </c>
      <c r="B16" s="6" t="s">
        <v>69</v>
      </c>
      <c r="C16" s="6" t="s">
        <v>70</v>
      </c>
      <c r="D16" s="6" t="s">
        <v>71</v>
      </c>
    </row>
    <row r="18" spans="1:4" ht="22" customHeight="1" x14ac:dyDescent="0.3">
      <c r="A18" s="86" t="s">
        <v>72</v>
      </c>
      <c r="B18" s="68"/>
      <c r="C18" s="68"/>
      <c r="D18" s="68"/>
    </row>
    <row r="19" spans="1:4" ht="24" customHeight="1" x14ac:dyDescent="0.3">
      <c r="A19" s="2" t="s">
        <v>73</v>
      </c>
      <c r="B19" s="2" t="s">
        <v>74</v>
      </c>
      <c r="C19" s="2" t="s">
        <v>75</v>
      </c>
      <c r="D19" s="2" t="s">
        <v>76</v>
      </c>
    </row>
    <row r="20" spans="1:4" ht="24" customHeight="1" x14ac:dyDescent="0.3">
      <c r="A20" s="3" t="s">
        <v>77</v>
      </c>
      <c r="B20" s="7" t="s">
        <v>78</v>
      </c>
      <c r="C20" s="3" t="s">
        <v>79</v>
      </c>
      <c r="D20" s="4" t="s">
        <v>80</v>
      </c>
    </row>
    <row r="21" spans="1:4" ht="24" customHeight="1" x14ac:dyDescent="0.3">
      <c r="A21" s="3" t="s">
        <v>81</v>
      </c>
      <c r="B21" s="8" t="s">
        <v>82</v>
      </c>
      <c r="C21" s="3" t="s">
        <v>83</v>
      </c>
      <c r="D21" s="4" t="s">
        <v>84</v>
      </c>
    </row>
    <row r="22" spans="1:4" ht="24" customHeight="1" x14ac:dyDescent="0.3">
      <c r="A22" s="3" t="s">
        <v>85</v>
      </c>
      <c r="B22" s="9" t="s">
        <v>86</v>
      </c>
      <c r="C22" s="3" t="s">
        <v>87</v>
      </c>
      <c r="D22" s="4" t="s">
        <v>88</v>
      </c>
    </row>
    <row r="23" spans="1:4" ht="24" customHeight="1" x14ac:dyDescent="0.3">
      <c r="A23" s="3" t="s">
        <v>89</v>
      </c>
      <c r="B23" s="10" t="s">
        <v>90</v>
      </c>
      <c r="C23" s="3" t="s">
        <v>91</v>
      </c>
      <c r="D23" s="4" t="s">
        <v>92</v>
      </c>
    </row>
    <row r="25" spans="1:4" x14ac:dyDescent="0.3">
      <c r="A25" s="78" t="s">
        <v>93</v>
      </c>
      <c r="B25" s="68"/>
      <c r="C25" s="68"/>
      <c r="D25" s="68"/>
    </row>
    <row r="26" spans="1:4" x14ac:dyDescent="0.3">
      <c r="A26" s="68"/>
      <c r="B26" s="68"/>
      <c r="C26" s="68"/>
      <c r="D26" s="68"/>
    </row>
    <row r="27" spans="1:4" x14ac:dyDescent="0.3">
      <c r="A27" s="68"/>
      <c r="B27" s="68"/>
      <c r="C27" s="68"/>
      <c r="D27" s="68"/>
    </row>
  </sheetData>
  <mergeCells count="4">
    <mergeCell ref="A1:D1"/>
    <mergeCell ref="A25:D27"/>
    <mergeCell ref="A18:D18"/>
    <mergeCell ref="A2:D2"/>
  </mergeCells>
  <pageMargins left="0.75" right="0.75" top="1" bottom="1" header="0.5" footer="0.5"/>
  <pageSetup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8A84B"/>
    <pageSetUpPr fitToPage="1"/>
  </sheetPr>
  <dimension ref="A1:AA25"/>
  <sheetViews>
    <sheetView rightToLeft="1" tabSelected="1" workbookViewId="0">
      <pane xSplit="2" ySplit="5" topLeftCell="C6" activePane="bottomRight" state="frozen"/>
      <selection pane="topRight"/>
      <selection pane="bottomLeft"/>
      <selection pane="bottomRight" activeCell="D7" sqref="D7"/>
    </sheetView>
  </sheetViews>
  <sheetFormatPr defaultRowHeight="14" x14ac:dyDescent="0.3"/>
  <cols>
    <col min="1" max="1" width="11" customWidth="1"/>
    <col min="2" max="2" width="32" customWidth="1"/>
    <col min="3" max="3" width="44" customWidth="1"/>
    <col min="4" max="4" width="26" customWidth="1"/>
    <col min="5" max="5" width="20" customWidth="1"/>
    <col min="6" max="6" width="26" customWidth="1"/>
    <col min="7" max="8" width="24" customWidth="1"/>
    <col min="9" max="9" width="40" customWidth="1"/>
    <col min="10" max="10" width="14" customWidth="1"/>
    <col min="11" max="11" width="12" customWidth="1"/>
    <col min="12" max="13" width="10" customWidth="1"/>
    <col min="14" max="14" width="12" customWidth="1"/>
    <col min="15" max="16" width="13" customWidth="1"/>
    <col min="17" max="20" width="11" customWidth="1"/>
    <col min="21" max="21" width="30" customWidth="1"/>
    <col min="22" max="22" width="18" customWidth="1"/>
    <col min="23" max="23" width="12" customWidth="1"/>
    <col min="24" max="24" width="13" customWidth="1"/>
    <col min="25" max="25" width="12" customWidth="1"/>
    <col min="26" max="26" width="14" customWidth="1"/>
    <col min="27" max="27" width="13" customWidth="1"/>
  </cols>
  <sheetData>
    <row r="1" spans="1:27" ht="26" customHeight="1" x14ac:dyDescent="0.3">
      <c r="A1" s="67" t="s">
        <v>94</v>
      </c>
      <c r="B1" s="68"/>
      <c r="C1" s="68"/>
      <c r="D1" s="68"/>
      <c r="E1" s="68"/>
      <c r="F1" s="68"/>
      <c r="G1" s="68"/>
      <c r="H1" s="68"/>
      <c r="I1" s="68"/>
      <c r="J1" s="68"/>
      <c r="K1" s="68"/>
      <c r="L1" s="68"/>
      <c r="M1" s="68"/>
      <c r="N1" s="68"/>
      <c r="O1" s="68"/>
      <c r="P1" s="68"/>
      <c r="Q1" s="68"/>
      <c r="R1" s="68"/>
      <c r="S1" s="68"/>
      <c r="T1" s="68"/>
      <c r="U1" s="68"/>
      <c r="V1" s="68"/>
      <c r="W1" s="68"/>
      <c r="X1" s="68"/>
      <c r="Y1" s="68"/>
      <c r="Z1" s="68"/>
      <c r="AA1" s="68"/>
    </row>
    <row r="2" spans="1:27" ht="24" customHeight="1" x14ac:dyDescent="0.3">
      <c r="A2" s="11" t="s">
        <v>95</v>
      </c>
      <c r="B2" s="88" t="s">
        <v>96</v>
      </c>
      <c r="C2" s="68"/>
      <c r="D2" s="89" t="s">
        <v>97</v>
      </c>
      <c r="E2" s="68"/>
      <c r="F2" s="68"/>
      <c r="G2" s="68"/>
      <c r="H2" s="68"/>
      <c r="I2" s="68"/>
      <c r="J2" s="68"/>
    </row>
    <row r="5" spans="1:27" ht="32" customHeight="1" x14ac:dyDescent="0.3">
      <c r="A5" s="2" t="s">
        <v>98</v>
      </c>
      <c r="B5" s="2" t="s">
        <v>99</v>
      </c>
      <c r="C5" s="2" t="s">
        <v>100</v>
      </c>
      <c r="D5" s="2" t="s">
        <v>101</v>
      </c>
      <c r="E5" s="2" t="s">
        <v>102</v>
      </c>
      <c r="F5" s="2" t="s">
        <v>103</v>
      </c>
      <c r="G5" s="2" t="s">
        <v>104</v>
      </c>
      <c r="H5" s="2" t="s">
        <v>105</v>
      </c>
      <c r="I5" s="2" t="s">
        <v>106</v>
      </c>
      <c r="J5" s="2" t="s">
        <v>107</v>
      </c>
      <c r="K5" s="2" t="s">
        <v>57</v>
      </c>
      <c r="L5" s="2" t="s">
        <v>25</v>
      </c>
      <c r="M5" s="2" t="s">
        <v>49</v>
      </c>
      <c r="N5" s="2" t="s">
        <v>29</v>
      </c>
      <c r="O5" s="2" t="s">
        <v>108</v>
      </c>
      <c r="P5" s="2" t="s">
        <v>33</v>
      </c>
      <c r="Q5" s="2" t="s">
        <v>109</v>
      </c>
      <c r="R5" s="2" t="s">
        <v>110</v>
      </c>
      <c r="S5" s="2" t="s">
        <v>111</v>
      </c>
      <c r="T5" s="2" t="s">
        <v>112</v>
      </c>
      <c r="U5" s="2" t="s">
        <v>113</v>
      </c>
      <c r="V5" s="2" t="s">
        <v>114</v>
      </c>
      <c r="W5" s="2" t="s">
        <v>115</v>
      </c>
      <c r="X5" s="2" t="s">
        <v>116</v>
      </c>
      <c r="Y5" s="2" t="s">
        <v>117</v>
      </c>
      <c r="Z5" s="2" t="s">
        <v>74</v>
      </c>
      <c r="AA5" s="2" t="s">
        <v>53</v>
      </c>
    </row>
    <row r="6" spans="1:27" ht="40" customHeight="1" x14ac:dyDescent="0.3">
      <c r="A6" s="12" t="s">
        <v>118</v>
      </c>
      <c r="B6" s="13" t="s">
        <v>119</v>
      </c>
      <c r="C6" s="14" t="s">
        <v>120</v>
      </c>
      <c r="D6" s="13" t="s">
        <v>121</v>
      </c>
      <c r="E6" s="15" t="s">
        <v>122</v>
      </c>
      <c r="F6" s="13" t="s">
        <v>123</v>
      </c>
      <c r="G6" s="13" t="s">
        <v>124</v>
      </c>
      <c r="H6" s="13" t="s">
        <v>125</v>
      </c>
      <c r="I6" s="14" t="s">
        <v>126</v>
      </c>
      <c r="J6" s="15" t="s">
        <v>127</v>
      </c>
      <c r="K6" s="15" t="s">
        <v>128</v>
      </c>
      <c r="L6" s="15" t="s">
        <v>129</v>
      </c>
      <c r="M6" s="16">
        <v>0.12</v>
      </c>
      <c r="N6" s="17">
        <v>0.72</v>
      </c>
      <c r="O6" s="15" t="s">
        <v>130</v>
      </c>
      <c r="P6" s="17">
        <v>0.9</v>
      </c>
      <c r="Q6" s="17">
        <v>0.8</v>
      </c>
      <c r="R6" s="17">
        <v>0.85</v>
      </c>
      <c r="S6" s="17">
        <v>0.88</v>
      </c>
      <c r="T6" s="17">
        <v>0.9</v>
      </c>
      <c r="U6" s="14" t="s">
        <v>131</v>
      </c>
      <c r="V6" s="15" t="s">
        <v>37</v>
      </c>
      <c r="W6" s="18">
        <f>IFERROR(INDEX('سجل القراءات'!$E$4:$E$35,MATCH($A6&amp;"|"&amp;'سجل المؤشرات'!$B$2,'سجل القراءات'!$K$4:$K$35,0)),"")</f>
        <v>0.80610000000000004</v>
      </c>
      <c r="X6" s="19" t="str">
        <f>IFERROR(INDEX('سجل القراءات'!$D$4:$D$35,MATCH($A6&amp;"|"&amp;'سجل المؤشرات'!$B$2,'سجل القراءات'!$K$4:$K$35,0)),"")</f>
        <v>2026-06-30</v>
      </c>
      <c r="Y6" s="18">
        <f t="shared" ref="Y6:Y21" si="0">IF($W6="","",IFERROR(MIN(1.2,MAX(0,IF($V6="مقارنة بخط الأساس",IFERROR(($W6-$N6)/($P6-$N6),""),IF($L6="موجبة",IFERROR($W6/$P6,""),IFERROR($P6/$W6,""))))),""))</f>
        <v>0.89566666666666672</v>
      </c>
      <c r="Z6" s="19" t="str">
        <f t="shared" ref="Z6:Z21" si="1">IF($Y6="","—",IF($Y6&gt;=0.99,"متميز",IF($Y6&gt;=0.85,"ضمن المستهدف",IF($Y6&gt;=0.7,"يحتاج متابعة","متعثر"))))</f>
        <v>ضمن المستهدف</v>
      </c>
      <c r="AA6" s="18">
        <f t="shared" ref="AA6:AA21" si="2">IFERROR($Y6*$M6,"")</f>
        <v>0.10748000000000001</v>
      </c>
    </row>
    <row r="7" spans="1:27" ht="40" customHeight="1" x14ac:dyDescent="0.3">
      <c r="A7" s="20" t="s">
        <v>132</v>
      </c>
      <c r="B7" s="21" t="s">
        <v>133</v>
      </c>
      <c r="C7" s="22" t="s">
        <v>134</v>
      </c>
      <c r="D7" s="21" t="s">
        <v>121</v>
      </c>
      <c r="E7" s="23" t="s">
        <v>122</v>
      </c>
      <c r="F7" s="21" t="s">
        <v>135</v>
      </c>
      <c r="G7" s="21" t="s">
        <v>124</v>
      </c>
      <c r="H7" s="21" t="s">
        <v>125</v>
      </c>
      <c r="I7" s="22" t="s">
        <v>136</v>
      </c>
      <c r="J7" s="23" t="s">
        <v>137</v>
      </c>
      <c r="K7" s="23" t="s">
        <v>128</v>
      </c>
      <c r="L7" s="23" t="s">
        <v>138</v>
      </c>
      <c r="M7" s="24">
        <v>0.04</v>
      </c>
      <c r="N7" s="25">
        <v>3.4</v>
      </c>
      <c r="O7" s="23" t="s">
        <v>130</v>
      </c>
      <c r="P7" s="25">
        <v>2</v>
      </c>
      <c r="Q7" s="25">
        <v>3</v>
      </c>
      <c r="R7" s="25">
        <v>2.6</v>
      </c>
      <c r="S7" s="25">
        <v>2.2999999999999998</v>
      </c>
      <c r="T7" s="25">
        <v>2</v>
      </c>
      <c r="U7" s="22" t="s">
        <v>139</v>
      </c>
      <c r="V7" s="23" t="s">
        <v>37</v>
      </c>
      <c r="W7" s="26">
        <f>IFERROR(INDEX('سجل القراءات'!$E$4:$E$35,MATCH($A7&amp;"|"&amp;'سجل المؤشرات'!$B$2,'سجل القراءات'!$K$4:$K$35,0)),"")</f>
        <v>1.5</v>
      </c>
      <c r="X7" s="27" t="str">
        <f>IFERROR(INDEX('سجل القراءات'!$D$4:$D$35,MATCH($A7&amp;"|"&amp;'سجل المؤشرات'!$B$2,'سجل القراءات'!$K$4:$K$35,0)),"")</f>
        <v>2026-06-30</v>
      </c>
      <c r="Y7" s="28">
        <f t="shared" si="0"/>
        <v>1.2</v>
      </c>
      <c r="Z7" s="27" t="str">
        <f t="shared" si="1"/>
        <v>متميز</v>
      </c>
      <c r="AA7" s="28">
        <f t="shared" si="2"/>
        <v>4.8000000000000001E-2</v>
      </c>
    </row>
    <row r="8" spans="1:27" ht="40" customHeight="1" x14ac:dyDescent="0.3">
      <c r="A8" s="12" t="s">
        <v>140</v>
      </c>
      <c r="B8" s="13" t="s">
        <v>141</v>
      </c>
      <c r="C8" s="14" t="s">
        <v>142</v>
      </c>
      <c r="D8" s="13" t="s">
        <v>143</v>
      </c>
      <c r="E8" s="15" t="s">
        <v>144</v>
      </c>
      <c r="F8" s="13" t="s">
        <v>145</v>
      </c>
      <c r="G8" s="13" t="s">
        <v>124</v>
      </c>
      <c r="H8" s="13" t="s">
        <v>125</v>
      </c>
      <c r="I8" s="14" t="s">
        <v>146</v>
      </c>
      <c r="J8" s="15" t="s">
        <v>147</v>
      </c>
      <c r="K8" s="15" t="s">
        <v>128</v>
      </c>
      <c r="L8" s="15" t="s">
        <v>138</v>
      </c>
      <c r="M8" s="16">
        <v>0.06</v>
      </c>
      <c r="N8" s="29">
        <v>27</v>
      </c>
      <c r="O8" s="15" t="s">
        <v>130</v>
      </c>
      <c r="P8" s="29">
        <v>20</v>
      </c>
      <c r="Q8" s="29">
        <v>25</v>
      </c>
      <c r="R8" s="29">
        <v>23</v>
      </c>
      <c r="S8" s="29">
        <v>21</v>
      </c>
      <c r="T8" s="29">
        <v>20</v>
      </c>
      <c r="U8" s="14" t="s">
        <v>148</v>
      </c>
      <c r="V8" s="15" t="s">
        <v>37</v>
      </c>
      <c r="W8" s="30">
        <f>IFERROR(INDEX('سجل القراءات'!$E$4:$E$35,MATCH($A8&amp;"|"&amp;'سجل المؤشرات'!$B$2,'سجل القراءات'!$K$4:$K$35,0)),"")</f>
        <v>20</v>
      </c>
      <c r="X8" s="19" t="str">
        <f>IFERROR(INDEX('سجل القراءات'!$D$4:$D$35,MATCH($A8&amp;"|"&amp;'سجل المؤشرات'!$B$2,'سجل القراءات'!$K$4:$K$35,0)),"")</f>
        <v>2026-06-30</v>
      </c>
      <c r="Y8" s="18">
        <f t="shared" si="0"/>
        <v>1</v>
      </c>
      <c r="Z8" s="19" t="str">
        <f t="shared" si="1"/>
        <v>متميز</v>
      </c>
      <c r="AA8" s="18">
        <f t="shared" si="2"/>
        <v>0.06</v>
      </c>
    </row>
    <row r="9" spans="1:27" ht="40" customHeight="1" x14ac:dyDescent="0.3">
      <c r="A9" s="20" t="s">
        <v>149</v>
      </c>
      <c r="B9" s="21" t="s">
        <v>150</v>
      </c>
      <c r="C9" s="22" t="s">
        <v>151</v>
      </c>
      <c r="D9" s="21" t="s">
        <v>143</v>
      </c>
      <c r="E9" s="23" t="s">
        <v>144</v>
      </c>
      <c r="F9" s="21" t="s">
        <v>152</v>
      </c>
      <c r="G9" s="21" t="s">
        <v>124</v>
      </c>
      <c r="H9" s="21" t="s">
        <v>125</v>
      </c>
      <c r="I9" s="22" t="s">
        <v>153</v>
      </c>
      <c r="J9" s="23" t="s">
        <v>127</v>
      </c>
      <c r="K9" s="23" t="s">
        <v>154</v>
      </c>
      <c r="L9" s="23" t="s">
        <v>129</v>
      </c>
      <c r="M9" s="24">
        <v>0.05</v>
      </c>
      <c r="N9" s="31">
        <v>0.84</v>
      </c>
      <c r="O9" s="23" t="s">
        <v>130</v>
      </c>
      <c r="P9" s="31">
        <v>0.95</v>
      </c>
      <c r="Q9" s="31">
        <v>0.9</v>
      </c>
      <c r="R9" s="31">
        <v>0.92</v>
      </c>
      <c r="S9" s="31">
        <v>0.94</v>
      </c>
      <c r="T9" s="31">
        <v>0.95</v>
      </c>
      <c r="U9" s="22" t="s">
        <v>155</v>
      </c>
      <c r="V9" s="23" t="s">
        <v>37</v>
      </c>
      <c r="W9" s="28">
        <f>IFERROR(INDEX('سجل القراءات'!$E$4:$E$35,MATCH($A9&amp;"|"&amp;'سجل المؤشرات'!$B$2,'سجل القراءات'!$K$4:$K$35,0)),"")</f>
        <v>0.91669999999999996</v>
      </c>
      <c r="X9" s="27" t="str">
        <f>IFERROR(INDEX('سجل القراءات'!$D$4:$D$35,MATCH($A9&amp;"|"&amp;'سجل المؤشرات'!$B$2,'سجل القراءات'!$K$4:$K$35,0)),"")</f>
        <v>2026-06-30</v>
      </c>
      <c r="Y9" s="28">
        <f t="shared" si="0"/>
        <v>0.96494736842105266</v>
      </c>
      <c r="Z9" s="27" t="str">
        <f t="shared" si="1"/>
        <v>ضمن المستهدف</v>
      </c>
      <c r="AA9" s="28">
        <f t="shared" si="2"/>
        <v>4.8247368421052636E-2</v>
      </c>
    </row>
    <row r="10" spans="1:27" ht="40" customHeight="1" x14ac:dyDescent="0.3">
      <c r="A10" s="12" t="s">
        <v>156</v>
      </c>
      <c r="B10" s="13" t="s">
        <v>157</v>
      </c>
      <c r="C10" s="14" t="s">
        <v>158</v>
      </c>
      <c r="D10" s="13" t="s">
        <v>143</v>
      </c>
      <c r="E10" s="15" t="s">
        <v>144</v>
      </c>
      <c r="F10" s="13" t="s">
        <v>159</v>
      </c>
      <c r="G10" s="13" t="s">
        <v>124</v>
      </c>
      <c r="H10" s="13" t="s">
        <v>125</v>
      </c>
      <c r="I10" s="14" t="s">
        <v>160</v>
      </c>
      <c r="J10" s="15" t="s">
        <v>127</v>
      </c>
      <c r="K10" s="15" t="s">
        <v>128</v>
      </c>
      <c r="L10" s="15" t="s">
        <v>129</v>
      </c>
      <c r="M10" s="16">
        <v>0.08</v>
      </c>
      <c r="N10" s="17">
        <v>0.74</v>
      </c>
      <c r="O10" s="15" t="s">
        <v>130</v>
      </c>
      <c r="P10" s="17">
        <v>0.9</v>
      </c>
      <c r="Q10" s="17">
        <v>0.82</v>
      </c>
      <c r="R10" s="17">
        <v>0.86</v>
      </c>
      <c r="S10" s="17">
        <v>0.88</v>
      </c>
      <c r="T10" s="17">
        <v>0.9</v>
      </c>
      <c r="U10" s="14" t="s">
        <v>161</v>
      </c>
      <c r="V10" s="15" t="s">
        <v>37</v>
      </c>
      <c r="W10" s="18">
        <f>IFERROR(INDEX('سجل القراءات'!$E$4:$E$35,MATCH($A10&amp;"|"&amp;'سجل المؤشرات'!$B$2,'سجل القراءات'!$K$4:$K$35,0)),"")</f>
        <v>0.81820000000000004</v>
      </c>
      <c r="X10" s="19" t="str">
        <f>IFERROR(INDEX('سجل القراءات'!$D$4:$D$35,MATCH($A10&amp;"|"&amp;'سجل المؤشرات'!$B$2,'سجل القراءات'!$K$4:$K$35,0)),"")</f>
        <v>2026-06-30</v>
      </c>
      <c r="Y10" s="18">
        <f t="shared" si="0"/>
        <v>0.90911111111111109</v>
      </c>
      <c r="Z10" s="19" t="str">
        <f t="shared" si="1"/>
        <v>ضمن المستهدف</v>
      </c>
      <c r="AA10" s="18">
        <f t="shared" si="2"/>
        <v>7.2728888888888885E-2</v>
      </c>
    </row>
    <row r="11" spans="1:27" ht="40" customHeight="1" x14ac:dyDescent="0.3">
      <c r="A11" s="20" t="s">
        <v>162</v>
      </c>
      <c r="B11" s="21" t="s">
        <v>163</v>
      </c>
      <c r="C11" s="22" t="s">
        <v>164</v>
      </c>
      <c r="D11" s="21" t="s">
        <v>143</v>
      </c>
      <c r="E11" s="23" t="s">
        <v>144</v>
      </c>
      <c r="F11" s="21" t="s">
        <v>165</v>
      </c>
      <c r="G11" s="21" t="s">
        <v>124</v>
      </c>
      <c r="H11" s="21" t="s">
        <v>125</v>
      </c>
      <c r="I11" s="22" t="s">
        <v>166</v>
      </c>
      <c r="J11" s="23" t="s">
        <v>137</v>
      </c>
      <c r="K11" s="23" t="s">
        <v>128</v>
      </c>
      <c r="L11" s="23" t="s">
        <v>138</v>
      </c>
      <c r="M11" s="24">
        <v>0.04</v>
      </c>
      <c r="N11" s="25">
        <v>9.8000000000000007</v>
      </c>
      <c r="O11" s="23" t="s">
        <v>130</v>
      </c>
      <c r="P11" s="25">
        <v>8</v>
      </c>
      <c r="Q11" s="25">
        <v>9</v>
      </c>
      <c r="R11" s="25">
        <v>8.6</v>
      </c>
      <c r="S11" s="25">
        <v>8.3000000000000007</v>
      </c>
      <c r="T11" s="25">
        <v>8</v>
      </c>
      <c r="U11" s="22" t="s">
        <v>167</v>
      </c>
      <c r="V11" s="23" t="s">
        <v>37</v>
      </c>
      <c r="W11" s="26">
        <f>IFERROR(INDEX('سجل القراءات'!$E$4:$E$35,MATCH($A11&amp;"|"&amp;'سجل المؤشرات'!$B$2,'سجل القراءات'!$K$4:$K$35,0)),"")</f>
        <v>7.6</v>
      </c>
      <c r="X11" s="27" t="str">
        <f>IFERROR(INDEX('سجل القراءات'!$D$4:$D$35,MATCH($A11&amp;"|"&amp;'سجل المؤشرات'!$B$2,'سجل القراءات'!$K$4:$K$35,0)),"")</f>
        <v>2026-06-30</v>
      </c>
      <c r="Y11" s="28">
        <f t="shared" si="0"/>
        <v>1.0526315789473684</v>
      </c>
      <c r="Z11" s="27" t="str">
        <f t="shared" si="1"/>
        <v>متميز</v>
      </c>
      <c r="AA11" s="28">
        <f t="shared" si="2"/>
        <v>4.2105263157894736E-2</v>
      </c>
    </row>
    <row r="12" spans="1:27" ht="40" customHeight="1" x14ac:dyDescent="0.3">
      <c r="A12" s="12" t="s">
        <v>168</v>
      </c>
      <c r="B12" s="13" t="s">
        <v>169</v>
      </c>
      <c r="C12" s="14" t="s">
        <v>170</v>
      </c>
      <c r="D12" s="13" t="s">
        <v>143</v>
      </c>
      <c r="E12" s="15" t="s">
        <v>144</v>
      </c>
      <c r="F12" s="13" t="s">
        <v>171</v>
      </c>
      <c r="G12" s="13" t="s">
        <v>124</v>
      </c>
      <c r="H12" s="13" t="s">
        <v>172</v>
      </c>
      <c r="I12" s="14" t="s">
        <v>173</v>
      </c>
      <c r="J12" s="15" t="s">
        <v>127</v>
      </c>
      <c r="K12" s="15" t="s">
        <v>128</v>
      </c>
      <c r="L12" s="15" t="s">
        <v>138</v>
      </c>
      <c r="M12" s="16">
        <v>0.03</v>
      </c>
      <c r="N12" s="17">
        <v>0.09</v>
      </c>
      <c r="O12" s="15" t="s">
        <v>130</v>
      </c>
      <c r="P12" s="17">
        <v>0.05</v>
      </c>
      <c r="Q12" s="17">
        <v>7.4999999999999997E-2</v>
      </c>
      <c r="R12" s="17">
        <v>6.5000000000000002E-2</v>
      </c>
      <c r="S12" s="17">
        <v>0.06</v>
      </c>
      <c r="T12" s="17">
        <v>0.05</v>
      </c>
      <c r="U12" s="14" t="s">
        <v>174</v>
      </c>
      <c r="V12" s="15" t="s">
        <v>37</v>
      </c>
      <c r="W12" s="18">
        <f>IFERROR(INDEX('سجل القراءات'!$E$4:$E$35,MATCH($A12&amp;"|"&amp;'سجل المؤشرات'!$B$2,'سجل القراءات'!$K$4:$K$35,0)),"")</f>
        <v>6.25E-2</v>
      </c>
      <c r="X12" s="19" t="str">
        <f>IFERROR(INDEX('سجل القراءات'!$D$4:$D$35,MATCH($A12&amp;"|"&amp;'سجل المؤشرات'!$B$2,'سجل القراءات'!$K$4:$K$35,0)),"")</f>
        <v>2026-06-30</v>
      </c>
      <c r="Y12" s="18">
        <f t="shared" si="0"/>
        <v>0.8</v>
      </c>
      <c r="Z12" s="19" t="str">
        <f t="shared" si="1"/>
        <v>يحتاج متابعة</v>
      </c>
      <c r="AA12" s="18">
        <f t="shared" si="2"/>
        <v>2.4E-2</v>
      </c>
    </row>
    <row r="13" spans="1:27" ht="40" customHeight="1" x14ac:dyDescent="0.3">
      <c r="A13" s="20" t="s">
        <v>175</v>
      </c>
      <c r="B13" s="21" t="s">
        <v>176</v>
      </c>
      <c r="C13" s="22" t="s">
        <v>177</v>
      </c>
      <c r="D13" s="21" t="s">
        <v>143</v>
      </c>
      <c r="E13" s="23" t="s">
        <v>144</v>
      </c>
      <c r="F13" s="21" t="s">
        <v>178</v>
      </c>
      <c r="G13" s="21" t="s">
        <v>124</v>
      </c>
      <c r="H13" s="21" t="s">
        <v>125</v>
      </c>
      <c r="I13" s="22" t="s">
        <v>179</v>
      </c>
      <c r="J13" s="23" t="s">
        <v>180</v>
      </c>
      <c r="K13" s="23" t="s">
        <v>181</v>
      </c>
      <c r="L13" s="23" t="s">
        <v>129</v>
      </c>
      <c r="M13" s="24">
        <v>0.05</v>
      </c>
      <c r="N13" s="32">
        <v>3.1</v>
      </c>
      <c r="O13" s="23" t="s">
        <v>130</v>
      </c>
      <c r="P13" s="32">
        <v>3.5</v>
      </c>
      <c r="Q13" s="32">
        <v>3.2</v>
      </c>
      <c r="R13" s="32">
        <v>3.3</v>
      </c>
      <c r="S13" s="32">
        <v>3.4</v>
      </c>
      <c r="T13" s="32">
        <v>3.5</v>
      </c>
      <c r="U13" s="22" t="s">
        <v>182</v>
      </c>
      <c r="V13" s="23" t="s">
        <v>37</v>
      </c>
      <c r="W13" s="33">
        <f>IFERROR(INDEX('سجل القراءات'!$E$4:$E$35,MATCH($A13&amp;"|"&amp;'سجل المؤشرات'!$B$2,'سجل القراءات'!$K$4:$K$35,0)),"")</f>
        <v>3.66</v>
      </c>
      <c r="X13" s="27" t="str">
        <f>IFERROR(INDEX('سجل القراءات'!$D$4:$D$35,MATCH($A13&amp;"|"&amp;'سجل المؤشرات'!$B$2,'سجل القراءات'!$K$4:$K$35,0)),"")</f>
        <v>2026-06-30</v>
      </c>
      <c r="Y13" s="28">
        <f t="shared" si="0"/>
        <v>1.0457142857142858</v>
      </c>
      <c r="Z13" s="27" t="str">
        <f t="shared" si="1"/>
        <v>متميز</v>
      </c>
      <c r="AA13" s="28">
        <f t="shared" si="2"/>
        <v>5.2285714285714296E-2</v>
      </c>
    </row>
    <row r="14" spans="1:27" ht="40" customHeight="1" x14ac:dyDescent="0.3">
      <c r="A14" s="12" t="s">
        <v>183</v>
      </c>
      <c r="B14" s="13" t="s">
        <v>184</v>
      </c>
      <c r="C14" s="14" t="s">
        <v>185</v>
      </c>
      <c r="D14" s="13" t="s">
        <v>186</v>
      </c>
      <c r="E14" s="15" t="s">
        <v>187</v>
      </c>
      <c r="F14" s="13" t="s">
        <v>188</v>
      </c>
      <c r="G14" s="13" t="s">
        <v>125</v>
      </c>
      <c r="H14" s="13" t="s">
        <v>125</v>
      </c>
      <c r="I14" s="14" t="s">
        <v>189</v>
      </c>
      <c r="J14" s="15" t="s">
        <v>127</v>
      </c>
      <c r="K14" s="15" t="s">
        <v>181</v>
      </c>
      <c r="L14" s="15" t="s">
        <v>129</v>
      </c>
      <c r="M14" s="16">
        <v>0.14000000000000001</v>
      </c>
      <c r="N14" s="17">
        <v>0.52</v>
      </c>
      <c r="O14" s="15" t="s">
        <v>130</v>
      </c>
      <c r="P14" s="17">
        <v>0.75</v>
      </c>
      <c r="Q14" s="17">
        <v>0.62</v>
      </c>
      <c r="R14" s="17">
        <v>0.67</v>
      </c>
      <c r="S14" s="17">
        <v>0.71</v>
      </c>
      <c r="T14" s="17">
        <v>0.75</v>
      </c>
      <c r="U14" s="14" t="s">
        <v>190</v>
      </c>
      <c r="V14" s="15" t="s">
        <v>37</v>
      </c>
      <c r="W14" s="18">
        <f>IFERROR(INDEX('سجل القراءات'!$E$4:$E$35,MATCH($A14&amp;"|"&amp;'سجل المؤشرات'!$B$2,'سجل القراءات'!$K$4:$K$35,0)),"")</f>
        <v>0.60560000000000003</v>
      </c>
      <c r="X14" s="19" t="str">
        <f>IFERROR(INDEX('سجل القراءات'!$D$4:$D$35,MATCH($A14&amp;"|"&amp;'سجل المؤشرات'!$B$2,'سجل القراءات'!$K$4:$K$35,0)),"")</f>
        <v>2026-06-30</v>
      </c>
      <c r="Y14" s="18">
        <f t="shared" si="0"/>
        <v>0.80746666666666667</v>
      </c>
      <c r="Z14" s="19" t="str">
        <f t="shared" si="1"/>
        <v>يحتاج متابعة</v>
      </c>
      <c r="AA14" s="18">
        <f t="shared" si="2"/>
        <v>0.11304533333333334</v>
      </c>
    </row>
    <row r="15" spans="1:27" ht="40" customHeight="1" x14ac:dyDescent="0.3">
      <c r="A15" s="20" t="s">
        <v>191</v>
      </c>
      <c r="B15" s="21" t="s">
        <v>192</v>
      </c>
      <c r="C15" s="22" t="s">
        <v>193</v>
      </c>
      <c r="D15" s="21" t="s">
        <v>186</v>
      </c>
      <c r="E15" s="23" t="s">
        <v>187</v>
      </c>
      <c r="F15" s="21" t="s">
        <v>194</v>
      </c>
      <c r="G15" s="21" t="s">
        <v>125</v>
      </c>
      <c r="H15" s="21" t="s">
        <v>125</v>
      </c>
      <c r="I15" s="22" t="s">
        <v>195</v>
      </c>
      <c r="J15" s="23" t="s">
        <v>196</v>
      </c>
      <c r="K15" s="23" t="s">
        <v>181</v>
      </c>
      <c r="L15" s="23" t="s">
        <v>129</v>
      </c>
      <c r="M15" s="24">
        <v>0.08</v>
      </c>
      <c r="N15" s="32">
        <v>-1.1000000000000001</v>
      </c>
      <c r="O15" s="23" t="s">
        <v>130</v>
      </c>
      <c r="P15" s="32">
        <v>0</v>
      </c>
      <c r="Q15" s="32">
        <v>-0.8</v>
      </c>
      <c r="R15" s="32">
        <v>-0.6</v>
      </c>
      <c r="S15" s="32">
        <v>-0.3</v>
      </c>
      <c r="T15" s="32">
        <v>0</v>
      </c>
      <c r="U15" s="22" t="s">
        <v>197</v>
      </c>
      <c r="V15" s="23" t="s">
        <v>41</v>
      </c>
      <c r="W15" s="33">
        <f>IFERROR(INDEX('سجل القراءات'!$E$4:$E$35,MATCH($A15&amp;"|"&amp;'سجل المؤشرات'!$B$2,'سجل القراءات'!$K$4:$K$35,0)),"")</f>
        <v>-0.52</v>
      </c>
      <c r="X15" s="27" t="str">
        <f>IFERROR(INDEX('سجل القراءات'!$D$4:$D$35,MATCH($A15&amp;"|"&amp;'سجل المؤشرات'!$B$2,'سجل القراءات'!$K$4:$K$35,0)),"")</f>
        <v>2026-06-30</v>
      </c>
      <c r="Y15" s="28">
        <f t="shared" si="0"/>
        <v>0.52727272727272734</v>
      </c>
      <c r="Z15" s="27" t="str">
        <f t="shared" si="1"/>
        <v>متعثر</v>
      </c>
      <c r="AA15" s="28">
        <f t="shared" si="2"/>
        <v>4.2181818181818188E-2</v>
      </c>
    </row>
    <row r="16" spans="1:27" ht="40" customHeight="1" x14ac:dyDescent="0.3">
      <c r="A16" s="12" t="s">
        <v>198</v>
      </c>
      <c r="B16" s="13" t="s">
        <v>199</v>
      </c>
      <c r="C16" s="14" t="s">
        <v>200</v>
      </c>
      <c r="D16" s="13" t="s">
        <v>186</v>
      </c>
      <c r="E16" s="15" t="s">
        <v>187</v>
      </c>
      <c r="F16" s="13" t="s">
        <v>188</v>
      </c>
      <c r="G16" s="13" t="s">
        <v>125</v>
      </c>
      <c r="H16" s="13" t="s">
        <v>125</v>
      </c>
      <c r="I16" s="14" t="s">
        <v>201</v>
      </c>
      <c r="J16" s="15" t="s">
        <v>202</v>
      </c>
      <c r="K16" s="15" t="s">
        <v>181</v>
      </c>
      <c r="L16" s="15" t="s">
        <v>129</v>
      </c>
      <c r="M16" s="16">
        <v>0.08</v>
      </c>
      <c r="N16" s="34">
        <v>-45</v>
      </c>
      <c r="O16" s="15" t="s">
        <v>130</v>
      </c>
      <c r="P16" s="34">
        <v>20</v>
      </c>
      <c r="Q16" s="34">
        <v>-25</v>
      </c>
      <c r="R16" s="34">
        <v>-10</v>
      </c>
      <c r="S16" s="34">
        <v>5</v>
      </c>
      <c r="T16" s="34">
        <v>20</v>
      </c>
      <c r="U16" s="14" t="s">
        <v>203</v>
      </c>
      <c r="V16" s="15" t="s">
        <v>41</v>
      </c>
      <c r="W16" s="35">
        <f>IFERROR(INDEX('سجل القراءات'!$E$4:$E$35,MATCH($A16&amp;"|"&amp;'سجل المؤشرات'!$B$2,'سجل القراءات'!$K$4:$K$35,0)),"")</f>
        <v>-20</v>
      </c>
      <c r="X16" s="19" t="str">
        <f>IFERROR(INDEX('سجل القراءات'!$D$4:$D$35,MATCH($A16&amp;"|"&amp;'سجل المؤشرات'!$B$2,'سجل القراءات'!$K$4:$K$35,0)),"")</f>
        <v>2026-06-30</v>
      </c>
      <c r="Y16" s="18">
        <f t="shared" si="0"/>
        <v>0.38461538461538464</v>
      </c>
      <c r="Z16" s="19" t="str">
        <f t="shared" si="1"/>
        <v>متعثر</v>
      </c>
      <c r="AA16" s="18">
        <f t="shared" si="2"/>
        <v>3.0769230769230771E-2</v>
      </c>
    </row>
    <row r="17" spans="1:27" ht="40" customHeight="1" x14ac:dyDescent="0.3">
      <c r="A17" s="20" t="s">
        <v>204</v>
      </c>
      <c r="B17" s="21" t="s">
        <v>205</v>
      </c>
      <c r="C17" s="22" t="s">
        <v>206</v>
      </c>
      <c r="D17" s="21" t="s">
        <v>207</v>
      </c>
      <c r="E17" s="23" t="s">
        <v>208</v>
      </c>
      <c r="F17" s="21" t="s">
        <v>209</v>
      </c>
      <c r="G17" s="21" t="s">
        <v>125</v>
      </c>
      <c r="H17" s="21" t="s">
        <v>125</v>
      </c>
      <c r="I17" s="22" t="s">
        <v>210</v>
      </c>
      <c r="J17" s="23" t="s">
        <v>180</v>
      </c>
      <c r="K17" s="23" t="s">
        <v>181</v>
      </c>
      <c r="L17" s="23" t="s">
        <v>138</v>
      </c>
      <c r="M17" s="24">
        <v>0.04</v>
      </c>
      <c r="N17" s="32">
        <v>3.1</v>
      </c>
      <c r="O17" s="23" t="s">
        <v>130</v>
      </c>
      <c r="P17" s="32">
        <v>2.5</v>
      </c>
      <c r="Q17" s="32">
        <v>2.9</v>
      </c>
      <c r="R17" s="32">
        <v>2.75</v>
      </c>
      <c r="S17" s="32">
        <v>2.6</v>
      </c>
      <c r="T17" s="32">
        <v>2.5</v>
      </c>
      <c r="U17" s="22" t="s">
        <v>211</v>
      </c>
      <c r="V17" s="23" t="s">
        <v>37</v>
      </c>
      <c r="W17" s="33">
        <f>IFERROR(INDEX('سجل القراءات'!$E$4:$E$35,MATCH($A17&amp;"|"&amp;'سجل المؤشرات'!$B$2,'سجل القراءات'!$K$4:$K$35,0)),"")</f>
        <v>2.37</v>
      </c>
      <c r="X17" s="27" t="str">
        <f>IFERROR(INDEX('سجل القراءات'!$D$4:$D$35,MATCH($A17&amp;"|"&amp;'سجل المؤشرات'!$B$2,'سجل القراءات'!$K$4:$K$35,0)),"")</f>
        <v>2026-06-30</v>
      </c>
      <c r="Y17" s="28">
        <f t="shared" si="0"/>
        <v>1.0548523206751055</v>
      </c>
      <c r="Z17" s="27" t="str">
        <f t="shared" si="1"/>
        <v>متميز</v>
      </c>
      <c r="AA17" s="28">
        <f t="shared" si="2"/>
        <v>4.2194092827004218E-2</v>
      </c>
    </row>
    <row r="18" spans="1:27" ht="40" customHeight="1" x14ac:dyDescent="0.3">
      <c r="A18" s="12" t="s">
        <v>212</v>
      </c>
      <c r="B18" s="13" t="s">
        <v>213</v>
      </c>
      <c r="C18" s="14" t="s">
        <v>214</v>
      </c>
      <c r="D18" s="13" t="s">
        <v>215</v>
      </c>
      <c r="E18" s="15" t="s">
        <v>216</v>
      </c>
      <c r="F18" s="13" t="s">
        <v>165</v>
      </c>
      <c r="G18" s="13" t="s">
        <v>124</v>
      </c>
      <c r="H18" s="13" t="s">
        <v>172</v>
      </c>
      <c r="I18" s="14" t="s">
        <v>217</v>
      </c>
      <c r="J18" s="15" t="s">
        <v>127</v>
      </c>
      <c r="K18" s="15" t="s">
        <v>128</v>
      </c>
      <c r="L18" s="15" t="s">
        <v>129</v>
      </c>
      <c r="M18" s="16">
        <v>0.05</v>
      </c>
      <c r="N18" s="17">
        <v>0.68</v>
      </c>
      <c r="O18" s="15" t="s">
        <v>130</v>
      </c>
      <c r="P18" s="17">
        <v>0.85</v>
      </c>
      <c r="Q18" s="17">
        <v>0.75</v>
      </c>
      <c r="R18" s="17">
        <v>0.8</v>
      </c>
      <c r="S18" s="17">
        <v>0.83</v>
      </c>
      <c r="T18" s="17">
        <v>0.85</v>
      </c>
      <c r="U18" s="14" t="s">
        <v>218</v>
      </c>
      <c r="V18" s="15" t="s">
        <v>37</v>
      </c>
      <c r="W18" s="18">
        <f>IFERROR(INDEX('سجل القراءات'!$E$4:$E$35,MATCH($A18&amp;"|"&amp;'سجل المؤشرات'!$B$2,'سجل القراءات'!$K$4:$K$35,0)),"")</f>
        <v>0.93179999999999996</v>
      </c>
      <c r="X18" s="19" t="str">
        <f>IFERROR(INDEX('سجل القراءات'!$D$4:$D$35,MATCH($A18&amp;"|"&amp;'سجل المؤشرات'!$B$2,'سجل القراءات'!$K$4:$K$35,0)),"")</f>
        <v>2026-06-30</v>
      </c>
      <c r="Y18" s="18">
        <f t="shared" si="0"/>
        <v>1.096235294117647</v>
      </c>
      <c r="Z18" s="19" t="str">
        <f t="shared" si="1"/>
        <v>متميز</v>
      </c>
      <c r="AA18" s="18">
        <f t="shared" si="2"/>
        <v>5.4811764705882352E-2</v>
      </c>
    </row>
    <row r="19" spans="1:27" ht="40" customHeight="1" x14ac:dyDescent="0.3">
      <c r="A19" s="20" t="s">
        <v>219</v>
      </c>
      <c r="B19" s="21" t="s">
        <v>220</v>
      </c>
      <c r="C19" s="22" t="s">
        <v>221</v>
      </c>
      <c r="D19" s="21" t="s">
        <v>215</v>
      </c>
      <c r="E19" s="23" t="s">
        <v>222</v>
      </c>
      <c r="F19" s="21" t="s">
        <v>223</v>
      </c>
      <c r="G19" s="21" t="s">
        <v>224</v>
      </c>
      <c r="H19" s="21" t="s">
        <v>172</v>
      </c>
      <c r="I19" s="22" t="s">
        <v>225</v>
      </c>
      <c r="J19" s="23" t="s">
        <v>127</v>
      </c>
      <c r="K19" s="23" t="s">
        <v>181</v>
      </c>
      <c r="L19" s="23" t="s">
        <v>129</v>
      </c>
      <c r="M19" s="24">
        <v>0.06</v>
      </c>
      <c r="N19" s="31">
        <v>0.08</v>
      </c>
      <c r="O19" s="23" t="s">
        <v>130</v>
      </c>
      <c r="P19" s="31">
        <v>0.4</v>
      </c>
      <c r="Q19" s="31">
        <v>0.15</v>
      </c>
      <c r="R19" s="31">
        <v>0.25</v>
      </c>
      <c r="S19" s="31">
        <v>0.32</v>
      </c>
      <c r="T19" s="31">
        <v>0.4</v>
      </c>
      <c r="U19" s="22" t="s">
        <v>226</v>
      </c>
      <c r="V19" s="23" t="s">
        <v>37</v>
      </c>
      <c r="W19" s="28">
        <f>IFERROR(INDEX('سجل القراءات'!$E$4:$E$35,MATCH($A19&amp;"|"&amp;'سجل المؤشرات'!$B$2,'سجل القراءات'!$K$4:$K$35,0)),"")</f>
        <v>0.15379999999999999</v>
      </c>
      <c r="X19" s="27" t="str">
        <f>IFERROR(INDEX('سجل القراءات'!$D$4:$D$35,MATCH($A19&amp;"|"&amp;'سجل المؤشرات'!$B$2,'سجل القراءات'!$K$4:$K$35,0)),"")</f>
        <v>2026-06-30</v>
      </c>
      <c r="Y19" s="28">
        <f t="shared" si="0"/>
        <v>0.38449999999999995</v>
      </c>
      <c r="Z19" s="27" t="str">
        <f t="shared" si="1"/>
        <v>متعثر</v>
      </c>
      <c r="AA19" s="28">
        <f t="shared" si="2"/>
        <v>2.3069999999999997E-2</v>
      </c>
    </row>
    <row r="20" spans="1:27" ht="40" customHeight="1" x14ac:dyDescent="0.3">
      <c r="A20" s="12" t="s">
        <v>227</v>
      </c>
      <c r="B20" s="13" t="s">
        <v>228</v>
      </c>
      <c r="C20" s="14" t="s">
        <v>229</v>
      </c>
      <c r="D20" s="13" t="s">
        <v>207</v>
      </c>
      <c r="E20" s="15" t="s">
        <v>208</v>
      </c>
      <c r="F20" s="13" t="s">
        <v>230</v>
      </c>
      <c r="G20" s="13" t="s">
        <v>125</v>
      </c>
      <c r="H20" s="13" t="s">
        <v>125</v>
      </c>
      <c r="I20" s="14" t="s">
        <v>231</v>
      </c>
      <c r="J20" s="15" t="s">
        <v>127</v>
      </c>
      <c r="K20" s="15" t="s">
        <v>128</v>
      </c>
      <c r="L20" s="15" t="s">
        <v>129</v>
      </c>
      <c r="M20" s="16">
        <v>0.05</v>
      </c>
      <c r="N20" s="17">
        <v>0.61</v>
      </c>
      <c r="O20" s="15" t="s">
        <v>130</v>
      </c>
      <c r="P20" s="17">
        <v>0.8</v>
      </c>
      <c r="Q20" s="17">
        <v>0.68</v>
      </c>
      <c r="R20" s="17">
        <v>0.72</v>
      </c>
      <c r="S20" s="17">
        <v>0.76</v>
      </c>
      <c r="T20" s="17">
        <v>0.8</v>
      </c>
      <c r="U20" s="14" t="s">
        <v>232</v>
      </c>
      <c r="V20" s="15" t="s">
        <v>37</v>
      </c>
      <c r="W20" s="18">
        <f>IFERROR(INDEX('سجل القراءات'!$E$4:$E$35,MATCH($A20&amp;"|"&amp;'سجل المؤشرات'!$B$2,'سجل القراءات'!$K$4:$K$35,0)),"")</f>
        <v>0.67920000000000003</v>
      </c>
      <c r="X20" s="19" t="str">
        <f>IFERROR(INDEX('سجل القراءات'!$D$4:$D$35,MATCH($A20&amp;"|"&amp;'سجل المؤشرات'!$B$2,'سجل القراءات'!$K$4:$K$35,0)),"")</f>
        <v>2026-06-30</v>
      </c>
      <c r="Y20" s="18">
        <f t="shared" si="0"/>
        <v>0.84899999999999998</v>
      </c>
      <c r="Z20" s="19" t="str">
        <f t="shared" si="1"/>
        <v>يحتاج متابعة</v>
      </c>
      <c r="AA20" s="18">
        <f t="shared" si="2"/>
        <v>4.2450000000000002E-2</v>
      </c>
    </row>
    <row r="21" spans="1:27" ht="40" customHeight="1" x14ac:dyDescent="0.3">
      <c r="A21" s="20" t="s">
        <v>233</v>
      </c>
      <c r="B21" s="21" t="s">
        <v>234</v>
      </c>
      <c r="C21" s="22" t="s">
        <v>235</v>
      </c>
      <c r="D21" s="21" t="s">
        <v>143</v>
      </c>
      <c r="E21" s="23" t="s">
        <v>144</v>
      </c>
      <c r="F21" s="21" t="s">
        <v>236</v>
      </c>
      <c r="G21" s="21" t="s">
        <v>124</v>
      </c>
      <c r="H21" s="21" t="s">
        <v>125</v>
      </c>
      <c r="I21" s="22" t="s">
        <v>237</v>
      </c>
      <c r="J21" s="23" t="s">
        <v>127</v>
      </c>
      <c r="K21" s="23" t="s">
        <v>128</v>
      </c>
      <c r="L21" s="23" t="s">
        <v>138</v>
      </c>
      <c r="M21" s="24">
        <v>0.03</v>
      </c>
      <c r="N21" s="31">
        <v>0.26</v>
      </c>
      <c r="O21" s="23" t="s">
        <v>130</v>
      </c>
      <c r="P21" s="31">
        <v>0.12</v>
      </c>
      <c r="Q21" s="31">
        <v>0.2</v>
      </c>
      <c r="R21" s="31">
        <v>0.17</v>
      </c>
      <c r="S21" s="31">
        <v>0.14000000000000001</v>
      </c>
      <c r="T21" s="31">
        <v>0.12</v>
      </c>
      <c r="U21" s="22" t="s">
        <v>238</v>
      </c>
      <c r="V21" s="23" t="s">
        <v>37</v>
      </c>
      <c r="W21" s="28">
        <f>IFERROR(INDEX('سجل القراءات'!$E$4:$E$35,MATCH($A21&amp;"|"&amp;'سجل المؤشرات'!$B$2,'سجل القراءات'!$K$4:$K$35,0)),"")</f>
        <v>0.19170000000000001</v>
      </c>
      <c r="X21" s="27" t="str">
        <f>IFERROR(INDEX('سجل القراءات'!$D$4:$D$35,MATCH($A21&amp;"|"&amp;'سجل المؤشرات'!$B$2,'سجل القراءات'!$K$4:$K$35,0)),"")</f>
        <v>2026-06-30</v>
      </c>
      <c r="Y21" s="28">
        <f t="shared" si="0"/>
        <v>0.62597809076682309</v>
      </c>
      <c r="Z21" s="27" t="str">
        <f t="shared" si="1"/>
        <v>متعثر</v>
      </c>
      <c r="AA21" s="28">
        <f t="shared" si="2"/>
        <v>1.8779342723004692E-2</v>
      </c>
    </row>
    <row r="22" spans="1:27" x14ac:dyDescent="0.3">
      <c r="L22" s="36" t="s">
        <v>239</v>
      </c>
      <c r="M22" s="37">
        <f>SUM($M$6:$M$21)</f>
        <v>1.0000000000000002</v>
      </c>
      <c r="N22" s="38" t="str">
        <f>IF(ROUND($M$22,4)=1,"مطابق","خلل في الأوزان")</f>
        <v>مطابق</v>
      </c>
    </row>
    <row r="24" spans="1:27" x14ac:dyDescent="0.3">
      <c r="A24" s="87" t="s">
        <v>240</v>
      </c>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row>
    <row r="25" spans="1:27" x14ac:dyDescent="0.3">
      <c r="A25" s="68"/>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row>
  </sheetData>
  <sheetProtection algorithmName="SHA-512" hashValue="9nGrBu9kqRMLPEHVAmUgir9GEaDbYexpYMwzrgTsNvx7XIHvbX4QJasuz3Td2HdzoNYEqv9qvw8X295YCAPK9g==" saltValue="9tsRKrBGQGKZbA2l8XyIyg==" spinCount="100000" sheet="1" formatCells="0" formatColumns="0" formatRows="0" insertColumns="0" insertRows="0" insertHyperlinks="0" deleteColumns="0" deleteRows="0" sort="0" autoFilter="0" pivotTables="0"/>
  <autoFilter ref="A5:AA21" xr:uid="{00000000-0009-0000-0000-000002000000}"/>
  <mergeCells count="4">
    <mergeCell ref="A24:AA25"/>
    <mergeCell ref="A1:AA1"/>
    <mergeCell ref="B2:C2"/>
    <mergeCell ref="D2:J2"/>
  </mergeCells>
  <conditionalFormatting sqref="N22">
    <cfRule type="cellIs" dxfId="33" priority="5" operator="equal">
      <formula>"مطابق"</formula>
    </cfRule>
    <cfRule type="cellIs" dxfId="32" priority="6" operator="equal">
      <formula>"خلل في الأوزان"</formula>
    </cfRule>
  </conditionalFormatting>
  <conditionalFormatting sqref="Z6:Z21">
    <cfRule type="cellIs" dxfId="31" priority="1" operator="equal">
      <formula>"متعثر"</formula>
    </cfRule>
    <cfRule type="cellIs" dxfId="30" priority="2" operator="equal">
      <formula>"يحتاج متابعة"</formula>
    </cfRule>
    <cfRule type="cellIs" dxfId="29" priority="3" operator="equal">
      <formula>"ضمن المستهدف"</formula>
    </cfRule>
    <cfRule type="cellIs" dxfId="28" priority="4" operator="equal">
      <formula>"متميز"</formula>
    </cfRule>
  </conditionalFormatting>
  <dataValidations count="1">
    <dataValidation type="list" sqref="B2" xr:uid="{00000000-0002-0000-0200-000000000000}">
      <formula1>"الربع الأول 2026,الربع الثاني 2026"</formula1>
    </dataValidation>
  </dataValidations>
  <pageMargins left="0.75" right="0.75" top="1" bottom="1" header="0.5" footer="0.5"/>
  <pageSetup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2EA67A"/>
    <pageSetUpPr fitToPage="1"/>
  </sheetPr>
  <dimension ref="A1:K38"/>
  <sheetViews>
    <sheetView rightToLeft="1" workbookViewId="0">
      <pane xSplit="2" ySplit="3" topLeftCell="C4" activePane="bottomRight" state="frozen"/>
      <selection pane="topRight"/>
      <selection pane="bottomLeft"/>
      <selection pane="bottomRight" activeCell="C6" sqref="C6"/>
    </sheetView>
  </sheetViews>
  <sheetFormatPr defaultRowHeight="14" x14ac:dyDescent="0.3"/>
  <cols>
    <col min="1" max="1" width="11" customWidth="1"/>
    <col min="2" max="2" width="32" customWidth="1"/>
    <col min="3" max="3" width="17" customWidth="1"/>
    <col min="4" max="4" width="15" customWidth="1"/>
    <col min="5" max="6" width="14" customWidth="1"/>
    <col min="7" max="7" width="13" customWidth="1"/>
    <col min="8" max="8" width="15" customWidth="1"/>
    <col min="9" max="9" width="17" customWidth="1"/>
    <col min="10" max="10" width="38" customWidth="1"/>
    <col min="11" max="11" width="26" customWidth="1"/>
  </cols>
  <sheetData>
    <row r="1" spans="1:11" ht="26" customHeight="1" x14ac:dyDescent="0.3">
      <c r="A1" s="67" t="s">
        <v>241</v>
      </c>
      <c r="B1" s="68"/>
      <c r="C1" s="68"/>
      <c r="D1" s="68"/>
      <c r="E1" s="68"/>
      <c r="F1" s="68"/>
      <c r="G1" s="68"/>
      <c r="H1" s="68"/>
      <c r="I1" s="68"/>
      <c r="J1" s="68"/>
      <c r="K1" s="68"/>
    </row>
    <row r="2" spans="1:11" ht="22" customHeight="1" x14ac:dyDescent="0.3">
      <c r="A2" s="74" t="s">
        <v>242</v>
      </c>
      <c r="B2" s="68"/>
      <c r="C2" s="68"/>
      <c r="D2" s="68"/>
      <c r="E2" s="68"/>
      <c r="F2" s="68"/>
      <c r="G2" s="68"/>
      <c r="H2" s="68"/>
      <c r="I2" s="68"/>
      <c r="J2" s="68"/>
      <c r="K2" s="68"/>
    </row>
    <row r="3" spans="1:11" ht="30" customHeight="1" x14ac:dyDescent="0.3">
      <c r="A3" s="2" t="s">
        <v>98</v>
      </c>
      <c r="B3" s="2" t="s">
        <v>99</v>
      </c>
      <c r="C3" s="2" t="s">
        <v>243</v>
      </c>
      <c r="D3" s="2" t="s">
        <v>244</v>
      </c>
      <c r="E3" s="2" t="s">
        <v>245</v>
      </c>
      <c r="F3" s="2" t="s">
        <v>65</v>
      </c>
      <c r="G3" s="2" t="s">
        <v>117</v>
      </c>
      <c r="H3" s="2" t="s">
        <v>74</v>
      </c>
      <c r="I3" s="2" t="s">
        <v>69</v>
      </c>
      <c r="J3" s="2" t="s">
        <v>246</v>
      </c>
      <c r="K3" s="2" t="s">
        <v>247</v>
      </c>
    </row>
    <row r="4" spans="1:11" ht="24" customHeight="1" x14ac:dyDescent="0.3">
      <c r="A4" s="12" t="s">
        <v>118</v>
      </c>
      <c r="B4" s="13" t="s">
        <v>119</v>
      </c>
      <c r="C4" s="15" t="s">
        <v>248</v>
      </c>
      <c r="D4" s="15" t="s">
        <v>249</v>
      </c>
      <c r="E4" s="17">
        <v>0.77100000000000002</v>
      </c>
      <c r="F4" s="17">
        <v>0.8</v>
      </c>
      <c r="G4" s="18">
        <f>IF($E4="","",IFERROR(MIN(1.2,MAX(0,IF('سجل المؤشرات'!$V$6="مقارنة بخط الأساس",IFERROR(($E4-'سجل المؤشرات'!$N$6)/($F4-'سجل المؤشرات'!$N$6),""),IF('سجل المؤشرات'!$L$6="موجبة",IFERROR($E4/$F4,""),IFERROR($F4/$E4,""))))),""))</f>
        <v>0.96375</v>
      </c>
      <c r="H4" s="19" t="str">
        <f t="shared" ref="H4:H35" si="0">IF($G4="","—",IF($G4&gt;=0.99,"متميز",IF($G4&gt;=0.85,"ضمن المستهدف",IF($G4&gt;=0.7,"يحتاج متابعة","متعثر"))))</f>
        <v>ضمن المستهدف</v>
      </c>
      <c r="I4" s="17" t="s">
        <v>250</v>
      </c>
      <c r="J4" s="14"/>
      <c r="K4" s="39" t="str">
        <f t="shared" ref="K4:K35" si="1">$A4&amp;"|"&amp;$C4</f>
        <v>KPI-01|الربع الأول 2026</v>
      </c>
    </row>
    <row r="5" spans="1:11" ht="24" customHeight="1" x14ac:dyDescent="0.3">
      <c r="A5" s="12" t="s">
        <v>118</v>
      </c>
      <c r="B5" s="13" t="s">
        <v>119</v>
      </c>
      <c r="C5" s="15" t="s">
        <v>96</v>
      </c>
      <c r="D5" s="15" t="s">
        <v>251</v>
      </c>
      <c r="E5" s="17">
        <v>0.80610000000000004</v>
      </c>
      <c r="F5" s="17">
        <v>0.85</v>
      </c>
      <c r="G5" s="18">
        <f>IF($E5="","",IFERROR(MIN(1.2,MAX(0,IF('سجل المؤشرات'!$V$6="مقارنة بخط الأساس",IFERROR(($E5-'سجل المؤشرات'!$N$6)/($F5-'سجل المؤشرات'!$N$6),""),IF('سجل المؤشرات'!$L$6="موجبة",IFERROR($E5/$F5,""),IFERROR($F5/$E5,""))))),""))</f>
        <v>0.94835294117647062</v>
      </c>
      <c r="H5" s="19" t="str">
        <f t="shared" si="0"/>
        <v>ضمن المستهدف</v>
      </c>
      <c r="I5" s="18">
        <f>IFERROR(IF('سجل المؤشرات'!$L$6="موجبة",$E5-$E4,$E4-$E5),"")</f>
        <v>3.510000000000002E-2</v>
      </c>
      <c r="J5" s="14" t="s">
        <v>252</v>
      </c>
      <c r="K5" s="39" t="str">
        <f t="shared" si="1"/>
        <v>KPI-01|الربع الثاني 2026</v>
      </c>
    </row>
    <row r="6" spans="1:11" ht="24" customHeight="1" x14ac:dyDescent="0.3">
      <c r="A6" s="20" t="s">
        <v>132</v>
      </c>
      <c r="B6" s="21" t="s">
        <v>133</v>
      </c>
      <c r="C6" s="23" t="s">
        <v>248</v>
      </c>
      <c r="D6" s="23" t="s">
        <v>249</v>
      </c>
      <c r="E6" s="25">
        <v>1.9</v>
      </c>
      <c r="F6" s="25">
        <v>3</v>
      </c>
      <c r="G6" s="28">
        <f>IF($E6="","",IFERROR(MIN(1.2,MAX(0,IF('سجل المؤشرات'!$V$7="مقارنة بخط الأساس",IFERROR(($E6-'سجل المؤشرات'!$N$7)/($F6-'سجل المؤشرات'!$N$7),""),IF('سجل المؤشرات'!$L$7="موجبة",IFERROR($E6/$F6,""),IFERROR($F6/$E6,""))))),""))</f>
        <v>1.2</v>
      </c>
      <c r="H6" s="27" t="str">
        <f t="shared" si="0"/>
        <v>متميز</v>
      </c>
      <c r="I6" s="25" t="s">
        <v>250</v>
      </c>
      <c r="J6" s="22"/>
      <c r="K6" s="40" t="str">
        <f t="shared" si="1"/>
        <v>KPI-02|الربع الأول 2026</v>
      </c>
    </row>
    <row r="7" spans="1:11" ht="24" customHeight="1" x14ac:dyDescent="0.3">
      <c r="A7" s="20" t="s">
        <v>132</v>
      </c>
      <c r="B7" s="21" t="s">
        <v>133</v>
      </c>
      <c r="C7" s="23" t="s">
        <v>96</v>
      </c>
      <c r="D7" s="23" t="s">
        <v>251</v>
      </c>
      <c r="E7" s="25">
        <v>1.5</v>
      </c>
      <c r="F7" s="25">
        <v>2.6</v>
      </c>
      <c r="G7" s="28">
        <f>IF($E7="","",IFERROR(MIN(1.2,MAX(0,IF('سجل المؤشرات'!$V$7="مقارنة بخط الأساس",IFERROR(($E7-'سجل المؤشرات'!$N$7)/($F7-'سجل المؤشرات'!$N$7),""),IF('سجل المؤشرات'!$L$7="موجبة",IFERROR($E7/$F7,""),IFERROR($F7/$E7,""))))),""))</f>
        <v>1.2</v>
      </c>
      <c r="H7" s="27" t="str">
        <f t="shared" si="0"/>
        <v>متميز</v>
      </c>
      <c r="I7" s="26">
        <f>IFERROR(IF('سجل المؤشرات'!$L$7="موجبة",$E7-$E6,$E6-$E7),"")</f>
        <v>0.39999999999999991</v>
      </c>
      <c r="J7" s="22"/>
      <c r="K7" s="40" t="str">
        <f t="shared" si="1"/>
        <v>KPI-02|الربع الثاني 2026</v>
      </c>
    </row>
    <row r="8" spans="1:11" ht="24" customHeight="1" x14ac:dyDescent="0.3">
      <c r="A8" s="12" t="s">
        <v>140</v>
      </c>
      <c r="B8" s="13" t="s">
        <v>141</v>
      </c>
      <c r="C8" s="15" t="s">
        <v>248</v>
      </c>
      <c r="D8" s="15" t="s">
        <v>249</v>
      </c>
      <c r="E8" s="29">
        <v>22.4</v>
      </c>
      <c r="F8" s="29">
        <v>25</v>
      </c>
      <c r="G8" s="18">
        <f>IF($E8="","",IFERROR(MIN(1.2,MAX(0,IF('سجل المؤشرات'!$V$8="مقارنة بخط الأساس",IFERROR(($E8-'سجل المؤشرات'!$N$8)/($F8-'سجل المؤشرات'!$N$8),""),IF('سجل المؤشرات'!$L$8="موجبة",IFERROR($E8/$F8,""),IFERROR($F8/$E8,""))))),""))</f>
        <v>1.1160714285714286</v>
      </c>
      <c r="H8" s="19" t="str">
        <f t="shared" si="0"/>
        <v>متميز</v>
      </c>
      <c r="I8" s="29" t="s">
        <v>250</v>
      </c>
      <c r="J8" s="14"/>
      <c r="K8" s="39" t="str">
        <f t="shared" si="1"/>
        <v>KPI-03|الربع الأول 2026</v>
      </c>
    </row>
    <row r="9" spans="1:11" ht="24" customHeight="1" x14ac:dyDescent="0.3">
      <c r="A9" s="12" t="s">
        <v>140</v>
      </c>
      <c r="B9" s="13" t="s">
        <v>141</v>
      </c>
      <c r="C9" s="15" t="s">
        <v>96</v>
      </c>
      <c r="D9" s="15" t="s">
        <v>251</v>
      </c>
      <c r="E9" s="29">
        <v>20</v>
      </c>
      <c r="F9" s="29">
        <v>23</v>
      </c>
      <c r="G9" s="18">
        <f>IF($E9="","",IFERROR(MIN(1.2,MAX(0,IF('سجل المؤشرات'!$V$8="مقارنة بخط الأساس",IFERROR(($E9-'سجل المؤشرات'!$N$8)/($F9-'سجل المؤشرات'!$N$8),""),IF('سجل المؤشرات'!$L$8="موجبة",IFERROR($E9/$F9,""),IFERROR($F9/$E9,""))))),""))</f>
        <v>1.1499999999999999</v>
      </c>
      <c r="H9" s="19" t="str">
        <f t="shared" si="0"/>
        <v>متميز</v>
      </c>
      <c r="I9" s="30">
        <f>IFERROR(IF('سجل المؤشرات'!$L$8="موجبة",$E9-$E8,$E8-$E9),"")</f>
        <v>2.3999999999999986</v>
      </c>
      <c r="J9" s="14"/>
      <c r="K9" s="39" t="str">
        <f t="shared" si="1"/>
        <v>KPI-03|الربع الثاني 2026</v>
      </c>
    </row>
    <row r="10" spans="1:11" ht="24" customHeight="1" x14ac:dyDescent="0.3">
      <c r="A10" s="20" t="s">
        <v>149</v>
      </c>
      <c r="B10" s="21" t="s">
        <v>150</v>
      </c>
      <c r="C10" s="23" t="s">
        <v>248</v>
      </c>
      <c r="D10" s="23" t="s">
        <v>249</v>
      </c>
      <c r="E10" s="31">
        <v>0.88900000000000001</v>
      </c>
      <c r="F10" s="31">
        <v>0.9</v>
      </c>
      <c r="G10" s="28">
        <f>IF($E10="","",IFERROR(MIN(1.2,MAX(0,IF('سجل المؤشرات'!$V$9="مقارنة بخط الأساس",IFERROR(($E10-'سجل المؤشرات'!$N$9)/($F10-'سجل المؤشرات'!$N$9),""),IF('سجل المؤشرات'!$L$9="موجبة",IFERROR($E10/$F10,""),IFERROR($F10/$E10,""))))),""))</f>
        <v>0.98777777777777775</v>
      </c>
      <c r="H10" s="27" t="str">
        <f t="shared" si="0"/>
        <v>ضمن المستهدف</v>
      </c>
      <c r="I10" s="31" t="s">
        <v>250</v>
      </c>
      <c r="J10" s="22"/>
      <c r="K10" s="40" t="str">
        <f t="shared" si="1"/>
        <v>KPI-04|الربع الأول 2026</v>
      </c>
    </row>
    <row r="11" spans="1:11" ht="24" customHeight="1" x14ac:dyDescent="0.3">
      <c r="A11" s="20" t="s">
        <v>149</v>
      </c>
      <c r="B11" s="21" t="s">
        <v>150</v>
      </c>
      <c r="C11" s="23" t="s">
        <v>96</v>
      </c>
      <c r="D11" s="23" t="s">
        <v>251</v>
      </c>
      <c r="E11" s="31">
        <v>0.91669999999999996</v>
      </c>
      <c r="F11" s="31">
        <v>0.92</v>
      </c>
      <c r="G11" s="28">
        <f>IF($E11="","",IFERROR(MIN(1.2,MAX(0,IF('سجل المؤشرات'!$V$9="مقارنة بخط الأساس",IFERROR(($E11-'سجل المؤشرات'!$N$9)/($F11-'سجل المؤشرات'!$N$9),""),IF('سجل المؤشرات'!$L$9="موجبة",IFERROR($E11/$F11,""),IFERROR($F11/$E11,""))))),""))</f>
        <v>0.99641304347826076</v>
      </c>
      <c r="H11" s="27" t="str">
        <f t="shared" si="0"/>
        <v>متميز</v>
      </c>
      <c r="I11" s="28">
        <f>IFERROR(IF('سجل المؤشرات'!$L$9="موجبة",$E11-$E10,$E10-$E11),"")</f>
        <v>2.7699999999999947E-2</v>
      </c>
      <c r="J11" s="22"/>
      <c r="K11" s="40" t="str">
        <f t="shared" si="1"/>
        <v>KPI-04|الربع الثاني 2026</v>
      </c>
    </row>
    <row r="12" spans="1:11" ht="24" customHeight="1" x14ac:dyDescent="0.3">
      <c r="A12" s="12" t="s">
        <v>156</v>
      </c>
      <c r="B12" s="13" t="s">
        <v>157</v>
      </c>
      <c r="C12" s="15" t="s">
        <v>248</v>
      </c>
      <c r="D12" s="15" t="s">
        <v>249</v>
      </c>
      <c r="E12" s="17">
        <v>0.78600000000000003</v>
      </c>
      <c r="F12" s="17">
        <v>0.82</v>
      </c>
      <c r="G12" s="18">
        <f>IF($E12="","",IFERROR(MIN(1.2,MAX(0,IF('سجل المؤشرات'!$V$10="مقارنة بخط الأساس",IFERROR(($E12-'سجل المؤشرات'!$N$10)/($F12-'سجل المؤشرات'!$N$10),""),IF('سجل المؤشرات'!$L$10="موجبة",IFERROR($E12/$F12,""),IFERROR($F12/$E12,""))))),""))</f>
        <v>0.95853658536585373</v>
      </c>
      <c r="H12" s="19" t="str">
        <f t="shared" si="0"/>
        <v>ضمن المستهدف</v>
      </c>
      <c r="I12" s="17" t="s">
        <v>250</v>
      </c>
      <c r="J12" s="14"/>
      <c r="K12" s="39" t="str">
        <f t="shared" si="1"/>
        <v>KPI-05|الربع الأول 2026</v>
      </c>
    </row>
    <row r="13" spans="1:11" ht="24" customHeight="1" x14ac:dyDescent="0.3">
      <c r="A13" s="12" t="s">
        <v>156</v>
      </c>
      <c r="B13" s="13" t="s">
        <v>157</v>
      </c>
      <c r="C13" s="15" t="s">
        <v>96</v>
      </c>
      <c r="D13" s="15" t="s">
        <v>251</v>
      </c>
      <c r="E13" s="17">
        <v>0.81820000000000004</v>
      </c>
      <c r="F13" s="17">
        <v>0.86</v>
      </c>
      <c r="G13" s="18">
        <f>IF($E13="","",IFERROR(MIN(1.2,MAX(0,IF('سجل المؤشرات'!$V$10="مقارنة بخط الأساس",IFERROR(($E13-'سجل المؤشرات'!$N$10)/($F13-'سجل المؤشرات'!$N$10),""),IF('سجل المؤشرات'!$L$10="موجبة",IFERROR($E13/$F13,""),IFERROR($F13/$E13,""))))),""))</f>
        <v>0.95139534883720933</v>
      </c>
      <c r="H13" s="19" t="str">
        <f t="shared" si="0"/>
        <v>ضمن المستهدف</v>
      </c>
      <c r="I13" s="18">
        <f>IFERROR(IF('سجل المؤشرات'!$L$10="موجبة",$E13-$E12,$E12-$E13),"")</f>
        <v>3.2200000000000006E-2</v>
      </c>
      <c r="J13" s="14" t="s">
        <v>253</v>
      </c>
      <c r="K13" s="39" t="str">
        <f t="shared" si="1"/>
        <v>KPI-05|الربع الثاني 2026</v>
      </c>
    </row>
    <row r="14" spans="1:11" ht="24" customHeight="1" x14ac:dyDescent="0.3">
      <c r="A14" s="20" t="s">
        <v>162</v>
      </c>
      <c r="B14" s="21" t="s">
        <v>163</v>
      </c>
      <c r="C14" s="23" t="s">
        <v>248</v>
      </c>
      <c r="D14" s="23" t="s">
        <v>249</v>
      </c>
      <c r="E14" s="25">
        <v>8.3000000000000007</v>
      </c>
      <c r="F14" s="25">
        <v>9</v>
      </c>
      <c r="G14" s="28">
        <f>IF($E14="","",IFERROR(MIN(1.2,MAX(0,IF('سجل المؤشرات'!$V$11="مقارنة بخط الأساس",IFERROR(($E14-'سجل المؤشرات'!$N$11)/($F14-'سجل المؤشرات'!$N$11),""),IF('سجل المؤشرات'!$L$11="موجبة",IFERROR($E14/$F14,""),IFERROR($F14/$E14,""))))),""))</f>
        <v>1.0843373493975903</v>
      </c>
      <c r="H14" s="27" t="str">
        <f t="shared" si="0"/>
        <v>متميز</v>
      </c>
      <c r="I14" s="25" t="s">
        <v>250</v>
      </c>
      <c r="J14" s="22"/>
      <c r="K14" s="40" t="str">
        <f t="shared" si="1"/>
        <v>KPI-06|الربع الأول 2026</v>
      </c>
    </row>
    <row r="15" spans="1:11" ht="24" customHeight="1" x14ac:dyDescent="0.3">
      <c r="A15" s="20" t="s">
        <v>162</v>
      </c>
      <c r="B15" s="21" t="s">
        <v>163</v>
      </c>
      <c r="C15" s="23" t="s">
        <v>96</v>
      </c>
      <c r="D15" s="23" t="s">
        <v>251</v>
      </c>
      <c r="E15" s="25">
        <v>7.6</v>
      </c>
      <c r="F15" s="25">
        <v>8.6</v>
      </c>
      <c r="G15" s="28">
        <f>IF($E15="","",IFERROR(MIN(1.2,MAX(0,IF('سجل المؤشرات'!$V$11="مقارنة بخط الأساس",IFERROR(($E15-'سجل المؤشرات'!$N$11)/($F15-'سجل المؤشرات'!$N$11),""),IF('سجل المؤشرات'!$L$11="موجبة",IFERROR($E15/$F15,""),IFERROR($F15/$E15,""))))),""))</f>
        <v>1.131578947368421</v>
      </c>
      <c r="H15" s="27" t="str">
        <f t="shared" si="0"/>
        <v>متميز</v>
      </c>
      <c r="I15" s="26">
        <f>IFERROR(IF('سجل المؤشرات'!$L$11="موجبة",$E15-$E14,$E14-$E15),"")</f>
        <v>0.70000000000000107</v>
      </c>
      <c r="J15" s="22"/>
      <c r="K15" s="40" t="str">
        <f t="shared" si="1"/>
        <v>KPI-06|الربع الثاني 2026</v>
      </c>
    </row>
    <row r="16" spans="1:11" ht="24" customHeight="1" x14ac:dyDescent="0.3">
      <c r="A16" s="12" t="s">
        <v>168</v>
      </c>
      <c r="B16" s="13" t="s">
        <v>169</v>
      </c>
      <c r="C16" s="15" t="s">
        <v>248</v>
      </c>
      <c r="D16" s="15" t="s">
        <v>249</v>
      </c>
      <c r="E16" s="17">
        <v>7.0999999999999994E-2</v>
      </c>
      <c r="F16" s="17">
        <v>7.4999999999999997E-2</v>
      </c>
      <c r="G16" s="18">
        <f>IF($E16="","",IFERROR(MIN(1.2,MAX(0,IF('سجل المؤشرات'!$V$12="مقارنة بخط الأساس",IFERROR(($E16-'سجل المؤشرات'!$N$12)/($F16-'سجل المؤشرات'!$N$12),""),IF('سجل المؤشرات'!$L$12="موجبة",IFERROR($E16/$F16,""),IFERROR($F16/$E16,""))))),""))</f>
        <v>1.0563380281690142</v>
      </c>
      <c r="H16" s="19" t="str">
        <f t="shared" si="0"/>
        <v>متميز</v>
      </c>
      <c r="I16" s="17" t="s">
        <v>250</v>
      </c>
      <c r="J16" s="14"/>
      <c r="K16" s="39" t="str">
        <f t="shared" si="1"/>
        <v>KPI-07|الربع الأول 2026</v>
      </c>
    </row>
    <row r="17" spans="1:11" ht="24" customHeight="1" x14ac:dyDescent="0.3">
      <c r="A17" s="12" t="s">
        <v>168</v>
      </c>
      <c r="B17" s="13" t="s">
        <v>169</v>
      </c>
      <c r="C17" s="15" t="s">
        <v>96</v>
      </c>
      <c r="D17" s="15" t="s">
        <v>251</v>
      </c>
      <c r="E17" s="17">
        <v>6.25E-2</v>
      </c>
      <c r="F17" s="17">
        <v>6.5000000000000002E-2</v>
      </c>
      <c r="G17" s="18">
        <f>IF($E17="","",IFERROR(MIN(1.2,MAX(0,IF('سجل المؤشرات'!$V$12="مقارنة بخط الأساس",IFERROR(($E17-'سجل المؤشرات'!$N$12)/($F17-'سجل المؤشرات'!$N$12),""),IF('سجل المؤشرات'!$L$12="موجبة",IFERROR($E17/$F17,""),IFERROR($F17/$E17,""))))),""))</f>
        <v>1.04</v>
      </c>
      <c r="H17" s="19" t="str">
        <f t="shared" si="0"/>
        <v>متميز</v>
      </c>
      <c r="I17" s="18">
        <f>IFERROR(IF('سجل المؤشرات'!$L$12="موجبة",$E17-$E16,$E16-$E17),"")</f>
        <v>8.4999999999999937E-3</v>
      </c>
      <c r="J17" s="14"/>
      <c r="K17" s="39" t="str">
        <f t="shared" si="1"/>
        <v>KPI-07|الربع الثاني 2026</v>
      </c>
    </row>
    <row r="18" spans="1:11" ht="24" customHeight="1" x14ac:dyDescent="0.3">
      <c r="A18" s="20" t="s">
        <v>175</v>
      </c>
      <c r="B18" s="21" t="s">
        <v>176</v>
      </c>
      <c r="C18" s="23" t="s">
        <v>248</v>
      </c>
      <c r="D18" s="23" t="s">
        <v>249</v>
      </c>
      <c r="E18" s="32">
        <v>3.42</v>
      </c>
      <c r="F18" s="32">
        <v>3.2</v>
      </c>
      <c r="G18" s="28">
        <f>IF($E18="","",IFERROR(MIN(1.2,MAX(0,IF('سجل المؤشرات'!$V$13="مقارنة بخط الأساس",IFERROR(($E18-'سجل المؤشرات'!$N$13)/($F18-'سجل المؤشرات'!$N$13),""),IF('سجل المؤشرات'!$L$13="موجبة",IFERROR($E18/$F18,""),IFERROR($F18/$E18,""))))),""))</f>
        <v>1.0687499999999999</v>
      </c>
      <c r="H18" s="27" t="str">
        <f t="shared" si="0"/>
        <v>متميز</v>
      </c>
      <c r="I18" s="32" t="s">
        <v>250</v>
      </c>
      <c r="J18" s="22"/>
      <c r="K18" s="40" t="str">
        <f t="shared" si="1"/>
        <v>KPI-08|الربع الأول 2026</v>
      </c>
    </row>
    <row r="19" spans="1:11" ht="24" customHeight="1" x14ac:dyDescent="0.3">
      <c r="A19" s="20" t="s">
        <v>175</v>
      </c>
      <c r="B19" s="21" t="s">
        <v>176</v>
      </c>
      <c r="C19" s="23" t="s">
        <v>96</v>
      </c>
      <c r="D19" s="23" t="s">
        <v>251</v>
      </c>
      <c r="E19" s="32">
        <v>3.66</v>
      </c>
      <c r="F19" s="32">
        <v>3.3</v>
      </c>
      <c r="G19" s="28">
        <f>IF($E19="","",IFERROR(MIN(1.2,MAX(0,IF('سجل المؤشرات'!$V$13="مقارنة بخط الأساس",IFERROR(($E19-'سجل المؤشرات'!$N$13)/($F19-'سجل المؤشرات'!$N$13),""),IF('سجل المؤشرات'!$L$13="موجبة",IFERROR($E19/$F19,""),IFERROR($F19/$E19,""))))),""))</f>
        <v>1.1090909090909091</v>
      </c>
      <c r="H19" s="27" t="str">
        <f t="shared" si="0"/>
        <v>متميز</v>
      </c>
      <c r="I19" s="33">
        <f>IFERROR(IF('سجل المؤشرات'!$L$13="موجبة",$E19-$E18,$E18-$E19),"")</f>
        <v>0.24000000000000021</v>
      </c>
      <c r="J19" s="22"/>
      <c r="K19" s="40" t="str">
        <f t="shared" si="1"/>
        <v>KPI-08|الربع الثاني 2026</v>
      </c>
    </row>
    <row r="20" spans="1:11" ht="24" customHeight="1" x14ac:dyDescent="0.3">
      <c r="A20" s="12" t="s">
        <v>183</v>
      </c>
      <c r="B20" s="13" t="s">
        <v>184</v>
      </c>
      <c r="C20" s="15" t="s">
        <v>248</v>
      </c>
      <c r="D20" s="15" t="s">
        <v>249</v>
      </c>
      <c r="E20" s="17">
        <v>0.57099999999999995</v>
      </c>
      <c r="F20" s="17">
        <v>0.62</v>
      </c>
      <c r="G20" s="18">
        <f>IF($E20="","",IFERROR(MIN(1.2,MAX(0,IF('سجل المؤشرات'!$V$14="مقارنة بخط الأساس",IFERROR(($E20-'سجل المؤشرات'!$N$14)/($F20-'سجل المؤشرات'!$N$14),""),IF('سجل المؤشرات'!$L$14="موجبة",IFERROR($E20/$F20,""),IFERROR($F20/$E20,""))))),""))</f>
        <v>0.92096774193548381</v>
      </c>
      <c r="H20" s="19" t="str">
        <f t="shared" si="0"/>
        <v>ضمن المستهدف</v>
      </c>
      <c r="I20" s="17" t="s">
        <v>250</v>
      </c>
      <c r="J20" s="14"/>
      <c r="K20" s="39" t="str">
        <f t="shared" si="1"/>
        <v>KPI-09|الربع الأول 2026</v>
      </c>
    </row>
    <row r="21" spans="1:11" ht="24" customHeight="1" x14ac:dyDescent="0.3">
      <c r="A21" s="12" t="s">
        <v>183</v>
      </c>
      <c r="B21" s="13" t="s">
        <v>184</v>
      </c>
      <c r="C21" s="15" t="s">
        <v>96</v>
      </c>
      <c r="D21" s="15" t="s">
        <v>251</v>
      </c>
      <c r="E21" s="17">
        <v>0.60560000000000003</v>
      </c>
      <c r="F21" s="17">
        <v>0.67</v>
      </c>
      <c r="G21" s="18">
        <f>IF($E21="","",IFERROR(MIN(1.2,MAX(0,IF('سجل المؤشرات'!$V$14="مقارنة بخط الأساس",IFERROR(($E21-'سجل المؤشرات'!$N$14)/($F21-'سجل المؤشرات'!$N$14),""),IF('سجل المؤشرات'!$L$14="موجبة",IFERROR($E21/$F21,""),IFERROR($F21/$E21,""))))),""))</f>
        <v>0.9038805970149254</v>
      </c>
      <c r="H21" s="19" t="str">
        <f t="shared" si="0"/>
        <v>ضمن المستهدف</v>
      </c>
      <c r="I21" s="18">
        <f>IFERROR(IF('سجل المؤشرات'!$L$14="موجبة",$E21-$E20,$E20-$E21),"")</f>
        <v>3.4600000000000075E-2</v>
      </c>
      <c r="J21" s="14" t="s">
        <v>254</v>
      </c>
      <c r="K21" s="39" t="str">
        <f t="shared" si="1"/>
        <v>KPI-09|الربع الثاني 2026</v>
      </c>
    </row>
    <row r="22" spans="1:11" ht="24" customHeight="1" x14ac:dyDescent="0.3">
      <c r="A22" s="20" t="s">
        <v>191</v>
      </c>
      <c r="B22" s="21" t="s">
        <v>192</v>
      </c>
      <c r="C22" s="23" t="s">
        <v>248</v>
      </c>
      <c r="D22" s="23" t="s">
        <v>249</v>
      </c>
      <c r="E22" s="32">
        <v>-0.71</v>
      </c>
      <c r="F22" s="32">
        <v>-0.8</v>
      </c>
      <c r="G22" s="28">
        <f>IF($E22="","",IFERROR(MIN(1.2,MAX(0,IF('سجل المؤشرات'!$V$15="مقارنة بخط الأساس",IFERROR(($E22-'سجل المؤشرات'!$N$15)/($F22-'سجل المؤشرات'!$N$15),""),IF('سجل المؤشرات'!$L$15="موجبة",IFERROR($E22/$F22,""),IFERROR($F22/$E22,""))))),""))</f>
        <v>1.2</v>
      </c>
      <c r="H22" s="27" t="str">
        <f t="shared" si="0"/>
        <v>متميز</v>
      </c>
      <c r="I22" s="32" t="s">
        <v>250</v>
      </c>
      <c r="J22" s="22"/>
      <c r="K22" s="40" t="str">
        <f t="shared" si="1"/>
        <v>KPI-10|الربع الأول 2026</v>
      </c>
    </row>
    <row r="23" spans="1:11" ht="24" customHeight="1" x14ac:dyDescent="0.3">
      <c r="A23" s="20" t="s">
        <v>191</v>
      </c>
      <c r="B23" s="21" t="s">
        <v>192</v>
      </c>
      <c r="C23" s="23" t="s">
        <v>96</v>
      </c>
      <c r="D23" s="23" t="s">
        <v>251</v>
      </c>
      <c r="E23" s="32">
        <v>-0.52</v>
      </c>
      <c r="F23" s="32">
        <v>-0.6</v>
      </c>
      <c r="G23" s="28">
        <f>IF($E23="","",IFERROR(MIN(1.2,MAX(0,IF('سجل المؤشرات'!$V$15="مقارنة بخط الأساس",IFERROR(($E23-'سجل المؤشرات'!$N$15)/($F23-'سجل المؤشرات'!$N$15),""),IF('سجل المؤشرات'!$L$15="موجبة",IFERROR($E23/$F23,""),IFERROR($F23/$E23,""))))),""))</f>
        <v>1.1599999999999999</v>
      </c>
      <c r="H23" s="27" t="str">
        <f t="shared" si="0"/>
        <v>متميز</v>
      </c>
      <c r="I23" s="33">
        <f>IFERROR(IF('سجل المؤشرات'!$L$15="موجبة",$E23-$E22,$E22-$E23),"")</f>
        <v>0.18999999999999995</v>
      </c>
      <c r="J23" s="22"/>
      <c r="K23" s="40" t="str">
        <f t="shared" si="1"/>
        <v>KPI-10|الربع الثاني 2026</v>
      </c>
    </row>
    <row r="24" spans="1:11" ht="24" customHeight="1" x14ac:dyDescent="0.3">
      <c r="A24" s="12" t="s">
        <v>198</v>
      </c>
      <c r="B24" s="13" t="s">
        <v>199</v>
      </c>
      <c r="C24" s="15" t="s">
        <v>248</v>
      </c>
      <c r="D24" s="15" t="s">
        <v>249</v>
      </c>
      <c r="E24" s="34">
        <v>-31</v>
      </c>
      <c r="F24" s="34">
        <v>-25</v>
      </c>
      <c r="G24" s="18">
        <f>IF($E24="","",IFERROR(MIN(1.2,MAX(0,IF('سجل المؤشرات'!$V$16="مقارنة بخط الأساس",IFERROR(($E24-'سجل المؤشرات'!$N$16)/($F24-'سجل المؤشرات'!$N$16),""),IF('سجل المؤشرات'!$L$16="موجبة",IFERROR($E24/$F24,""),IFERROR($F24/$E24,""))))),""))</f>
        <v>0.7</v>
      </c>
      <c r="H24" s="19" t="str">
        <f t="shared" si="0"/>
        <v>يحتاج متابعة</v>
      </c>
      <c r="I24" s="34" t="s">
        <v>250</v>
      </c>
      <c r="J24" s="14"/>
      <c r="K24" s="39" t="str">
        <f t="shared" si="1"/>
        <v>KPI-11|الربع الأول 2026</v>
      </c>
    </row>
    <row r="25" spans="1:11" ht="24" customHeight="1" x14ac:dyDescent="0.3">
      <c r="A25" s="12" t="s">
        <v>198</v>
      </c>
      <c r="B25" s="13" t="s">
        <v>199</v>
      </c>
      <c r="C25" s="15" t="s">
        <v>96</v>
      </c>
      <c r="D25" s="15" t="s">
        <v>251</v>
      </c>
      <c r="E25" s="34">
        <v>-20</v>
      </c>
      <c r="F25" s="34">
        <v>-10</v>
      </c>
      <c r="G25" s="18">
        <f>IF($E25="","",IFERROR(MIN(1.2,MAX(0,IF('سجل المؤشرات'!$V$16="مقارنة بخط الأساس",IFERROR(($E25-'سجل المؤشرات'!$N$16)/($F25-'سجل المؤشرات'!$N$16),""),IF('سجل المؤشرات'!$L$16="موجبة",IFERROR($E25/$F25,""),IFERROR($F25/$E25,""))))),""))</f>
        <v>0.7142857142857143</v>
      </c>
      <c r="H25" s="19" t="str">
        <f t="shared" si="0"/>
        <v>يحتاج متابعة</v>
      </c>
      <c r="I25" s="35">
        <f>IFERROR(IF('سجل المؤشرات'!$L$16="موجبة",$E25-$E24,$E24-$E25),"")</f>
        <v>11</v>
      </c>
      <c r="J25" s="14" t="s">
        <v>255</v>
      </c>
      <c r="K25" s="39" t="str">
        <f t="shared" si="1"/>
        <v>KPI-11|الربع الثاني 2026</v>
      </c>
    </row>
    <row r="26" spans="1:11" ht="24" customHeight="1" x14ac:dyDescent="0.3">
      <c r="A26" s="20" t="s">
        <v>204</v>
      </c>
      <c r="B26" s="21" t="s">
        <v>205</v>
      </c>
      <c r="C26" s="23" t="s">
        <v>248</v>
      </c>
      <c r="D26" s="23" t="s">
        <v>249</v>
      </c>
      <c r="E26" s="32">
        <v>2.61</v>
      </c>
      <c r="F26" s="32">
        <v>2.9</v>
      </c>
      <c r="G26" s="28">
        <f>IF($E26="","",IFERROR(MIN(1.2,MAX(0,IF('سجل المؤشرات'!$V$17="مقارنة بخط الأساس",IFERROR(($E26-'سجل المؤشرات'!$N$17)/($F26-'سجل المؤشرات'!$N$17),""),IF('سجل المؤشرات'!$L$17="موجبة",IFERROR($E26/$F26,""),IFERROR($F26/$E26,""))))),""))</f>
        <v>1.1111111111111112</v>
      </c>
      <c r="H26" s="27" t="str">
        <f t="shared" si="0"/>
        <v>متميز</v>
      </c>
      <c r="I26" s="32" t="s">
        <v>250</v>
      </c>
      <c r="J26" s="22"/>
      <c r="K26" s="40" t="str">
        <f t="shared" si="1"/>
        <v>KPI-12|الربع الأول 2026</v>
      </c>
    </row>
    <row r="27" spans="1:11" ht="24" customHeight="1" x14ac:dyDescent="0.3">
      <c r="A27" s="20" t="s">
        <v>204</v>
      </c>
      <c r="B27" s="21" t="s">
        <v>205</v>
      </c>
      <c r="C27" s="23" t="s">
        <v>96</v>
      </c>
      <c r="D27" s="23" t="s">
        <v>251</v>
      </c>
      <c r="E27" s="32">
        <v>2.37</v>
      </c>
      <c r="F27" s="32">
        <v>2.75</v>
      </c>
      <c r="G27" s="28">
        <f>IF($E27="","",IFERROR(MIN(1.2,MAX(0,IF('سجل المؤشرات'!$V$17="مقارنة بخط الأساس",IFERROR(($E27-'سجل المؤشرات'!$N$17)/($F27-'سجل المؤشرات'!$N$17),""),IF('سجل المؤشرات'!$L$17="موجبة",IFERROR($E27/$F27,""),IFERROR($F27/$E27,""))))),""))</f>
        <v>1.1603375527426161</v>
      </c>
      <c r="H27" s="27" t="str">
        <f t="shared" si="0"/>
        <v>متميز</v>
      </c>
      <c r="I27" s="33">
        <f>IFERROR(IF('سجل المؤشرات'!$L$17="موجبة",$E27-$E26,$E26-$E27),"")</f>
        <v>0.23999999999999977</v>
      </c>
      <c r="J27" s="22"/>
      <c r="K27" s="40" t="str">
        <f t="shared" si="1"/>
        <v>KPI-12|الربع الثاني 2026</v>
      </c>
    </row>
    <row r="28" spans="1:11" ht="24" customHeight="1" x14ac:dyDescent="0.3">
      <c r="A28" s="12" t="s">
        <v>212</v>
      </c>
      <c r="B28" s="13" t="s">
        <v>213</v>
      </c>
      <c r="C28" s="15" t="s">
        <v>248</v>
      </c>
      <c r="D28" s="15" t="s">
        <v>249</v>
      </c>
      <c r="E28" s="17">
        <v>0.86799999999999999</v>
      </c>
      <c r="F28" s="17">
        <v>0.75</v>
      </c>
      <c r="G28" s="18">
        <f>IF($E28="","",IFERROR(MIN(1.2,MAX(0,IF('سجل المؤشرات'!$V$18="مقارنة بخط الأساس",IFERROR(($E28-'سجل المؤشرات'!$N$18)/($F28-'سجل المؤشرات'!$N$18),""),IF('سجل المؤشرات'!$L$18="موجبة",IFERROR($E28/$F28,""),IFERROR($F28/$E28,""))))),""))</f>
        <v>1.1573333333333333</v>
      </c>
      <c r="H28" s="19" t="str">
        <f t="shared" si="0"/>
        <v>متميز</v>
      </c>
      <c r="I28" s="17" t="s">
        <v>250</v>
      </c>
      <c r="J28" s="14"/>
      <c r="K28" s="39" t="str">
        <f t="shared" si="1"/>
        <v>KPI-13|الربع الأول 2026</v>
      </c>
    </row>
    <row r="29" spans="1:11" ht="24" customHeight="1" x14ac:dyDescent="0.3">
      <c r="A29" s="12" t="s">
        <v>212</v>
      </c>
      <c r="B29" s="13" t="s">
        <v>213</v>
      </c>
      <c r="C29" s="15" t="s">
        <v>96</v>
      </c>
      <c r="D29" s="15" t="s">
        <v>251</v>
      </c>
      <c r="E29" s="17">
        <v>0.93179999999999996</v>
      </c>
      <c r="F29" s="17">
        <v>0.8</v>
      </c>
      <c r="G29" s="18">
        <f>IF($E29="","",IFERROR(MIN(1.2,MAX(0,IF('سجل المؤشرات'!$V$18="مقارنة بخط الأساس",IFERROR(($E29-'سجل المؤشرات'!$N$18)/($F29-'سجل المؤشرات'!$N$18),""),IF('سجل المؤشرات'!$L$18="موجبة",IFERROR($E29/$F29,""),IFERROR($F29/$E29,""))))),""))</f>
        <v>1.16475</v>
      </c>
      <c r="H29" s="19" t="str">
        <f t="shared" si="0"/>
        <v>متميز</v>
      </c>
      <c r="I29" s="18">
        <f>IFERROR(IF('سجل المؤشرات'!$L$18="موجبة",$E29-$E28,$E28-$E29),"")</f>
        <v>6.3799999999999968E-2</v>
      </c>
      <c r="J29" s="14" t="s">
        <v>256</v>
      </c>
      <c r="K29" s="39" t="str">
        <f t="shared" si="1"/>
        <v>KPI-13|الربع الثاني 2026</v>
      </c>
    </row>
    <row r="30" spans="1:11" ht="24" customHeight="1" x14ac:dyDescent="0.3">
      <c r="A30" s="20" t="s">
        <v>219</v>
      </c>
      <c r="B30" s="21" t="s">
        <v>220</v>
      </c>
      <c r="C30" s="23" t="s">
        <v>248</v>
      </c>
      <c r="D30" s="23" t="s">
        <v>249</v>
      </c>
      <c r="E30" s="31">
        <v>0.111</v>
      </c>
      <c r="F30" s="31">
        <v>0.15</v>
      </c>
      <c r="G30" s="28">
        <f>IF($E30="","",IFERROR(MIN(1.2,MAX(0,IF('سجل المؤشرات'!$V$19="مقارنة بخط الأساس",IFERROR(($E30-'سجل المؤشرات'!$N$19)/($F30-'سجل المؤشرات'!$N$19),""),IF('سجل المؤشرات'!$L$19="موجبة",IFERROR($E30/$F30,""),IFERROR($F30/$E30,""))))),""))</f>
        <v>0.74</v>
      </c>
      <c r="H30" s="27" t="str">
        <f t="shared" si="0"/>
        <v>يحتاج متابعة</v>
      </c>
      <c r="I30" s="31" t="s">
        <v>250</v>
      </c>
      <c r="J30" s="22"/>
      <c r="K30" s="40" t="str">
        <f t="shared" si="1"/>
        <v>KPI-14|الربع الأول 2026</v>
      </c>
    </row>
    <row r="31" spans="1:11" ht="24" customHeight="1" x14ac:dyDescent="0.3">
      <c r="A31" s="20" t="s">
        <v>219</v>
      </c>
      <c r="B31" s="21" t="s">
        <v>220</v>
      </c>
      <c r="C31" s="23" t="s">
        <v>96</v>
      </c>
      <c r="D31" s="23" t="s">
        <v>251</v>
      </c>
      <c r="E31" s="31">
        <v>0.15379999999999999</v>
      </c>
      <c r="F31" s="31">
        <v>0.25</v>
      </c>
      <c r="G31" s="28">
        <f>IF($E31="","",IFERROR(MIN(1.2,MAX(0,IF('سجل المؤشرات'!$V$19="مقارنة بخط الأساس",IFERROR(($E31-'سجل المؤشرات'!$N$19)/($F31-'سجل المؤشرات'!$N$19),""),IF('سجل المؤشرات'!$L$19="موجبة",IFERROR($E31/$F31,""),IFERROR($F31/$E31,""))))),""))</f>
        <v>0.61519999999999997</v>
      </c>
      <c r="H31" s="27" t="str">
        <f t="shared" si="0"/>
        <v>متعثر</v>
      </c>
      <c r="I31" s="28">
        <f>IFERROR(IF('سجل المؤشرات'!$L$19="موجبة",$E31-$E30,$E30-$E31),"")</f>
        <v>4.2799999999999991E-2</v>
      </c>
      <c r="J31" s="22" t="s">
        <v>257</v>
      </c>
      <c r="K31" s="40" t="str">
        <f t="shared" si="1"/>
        <v>KPI-14|الربع الثاني 2026</v>
      </c>
    </row>
    <row r="32" spans="1:11" ht="24" customHeight="1" x14ac:dyDescent="0.3">
      <c r="A32" s="12" t="s">
        <v>227</v>
      </c>
      <c r="B32" s="13" t="s">
        <v>228</v>
      </c>
      <c r="C32" s="15" t="s">
        <v>248</v>
      </c>
      <c r="D32" s="15" t="s">
        <v>249</v>
      </c>
      <c r="E32" s="17">
        <v>0.66400000000000003</v>
      </c>
      <c r="F32" s="17">
        <v>0.68</v>
      </c>
      <c r="G32" s="18">
        <f>IF($E32="","",IFERROR(MIN(1.2,MAX(0,IF('سجل المؤشرات'!$V$20="مقارنة بخط الأساس",IFERROR(($E32-'سجل المؤشرات'!$N$20)/($F32-'سجل المؤشرات'!$N$20),""),IF('سجل المؤشرات'!$L$20="موجبة",IFERROR($E32/$F32,""),IFERROR($F32/$E32,""))))),""))</f>
        <v>0.97647058823529409</v>
      </c>
      <c r="H32" s="19" t="str">
        <f t="shared" si="0"/>
        <v>ضمن المستهدف</v>
      </c>
      <c r="I32" s="17" t="s">
        <v>250</v>
      </c>
      <c r="J32" s="14"/>
      <c r="K32" s="39" t="str">
        <f t="shared" si="1"/>
        <v>KPI-15|الربع الأول 2026</v>
      </c>
    </row>
    <row r="33" spans="1:11" ht="24" customHeight="1" x14ac:dyDescent="0.3">
      <c r="A33" s="12" t="s">
        <v>227</v>
      </c>
      <c r="B33" s="13" t="s">
        <v>228</v>
      </c>
      <c r="C33" s="15" t="s">
        <v>96</v>
      </c>
      <c r="D33" s="15" t="s">
        <v>251</v>
      </c>
      <c r="E33" s="17">
        <v>0.67920000000000003</v>
      </c>
      <c r="F33" s="17">
        <v>0.72</v>
      </c>
      <c r="G33" s="18">
        <f>IF($E33="","",IFERROR(MIN(1.2,MAX(0,IF('سجل المؤشرات'!$V$20="مقارنة بخط الأساس",IFERROR(($E33-'سجل المؤشرات'!$N$20)/($F33-'سجل المؤشرات'!$N$20),""),IF('سجل المؤشرات'!$L$20="موجبة",IFERROR($E33/$F33,""),IFERROR($F33/$E33,""))))),""))</f>
        <v>0.94333333333333336</v>
      </c>
      <c r="H33" s="19" t="str">
        <f t="shared" si="0"/>
        <v>ضمن المستهدف</v>
      </c>
      <c r="I33" s="18">
        <f>IFERROR(IF('سجل المؤشرات'!$L$20="موجبة",$E33-$E32,$E32-$E33),"")</f>
        <v>1.5199999999999991E-2</v>
      </c>
      <c r="J33" s="14"/>
      <c r="K33" s="39" t="str">
        <f t="shared" si="1"/>
        <v>KPI-15|الربع الثاني 2026</v>
      </c>
    </row>
    <row r="34" spans="1:11" ht="24" customHeight="1" x14ac:dyDescent="0.3">
      <c r="A34" s="20" t="s">
        <v>233</v>
      </c>
      <c r="B34" s="21" t="s">
        <v>234</v>
      </c>
      <c r="C34" s="23" t="s">
        <v>248</v>
      </c>
      <c r="D34" s="23" t="s">
        <v>249</v>
      </c>
      <c r="E34" s="31">
        <v>0.21199999999999999</v>
      </c>
      <c r="F34" s="31">
        <v>0.2</v>
      </c>
      <c r="G34" s="28">
        <f>IF($E34="","",IFERROR(MIN(1.2,MAX(0,IF('سجل المؤشرات'!$V$21="مقارنة بخط الأساس",IFERROR(($E34-'سجل المؤشرات'!$N$21)/($F34-'سجل المؤشرات'!$N$21),""),IF('سجل المؤشرات'!$L$21="موجبة",IFERROR($E34/$F34,""),IFERROR($F34/$E34,""))))),""))</f>
        <v>0.94339622641509446</v>
      </c>
      <c r="H34" s="27" t="str">
        <f t="shared" si="0"/>
        <v>ضمن المستهدف</v>
      </c>
      <c r="I34" s="31" t="s">
        <v>250</v>
      </c>
      <c r="J34" s="22"/>
      <c r="K34" s="40" t="str">
        <f t="shared" si="1"/>
        <v>KPI-16|الربع الأول 2026</v>
      </c>
    </row>
    <row r="35" spans="1:11" ht="24" customHeight="1" x14ac:dyDescent="0.3">
      <c r="A35" s="20" t="s">
        <v>233</v>
      </c>
      <c r="B35" s="21" t="s">
        <v>234</v>
      </c>
      <c r="C35" s="23" t="s">
        <v>96</v>
      </c>
      <c r="D35" s="23" t="s">
        <v>251</v>
      </c>
      <c r="E35" s="31">
        <v>0.19170000000000001</v>
      </c>
      <c r="F35" s="31">
        <v>0.17</v>
      </c>
      <c r="G35" s="28">
        <f>IF($E35="","",IFERROR(MIN(1.2,MAX(0,IF('سجل المؤشرات'!$V$21="مقارنة بخط الأساس",IFERROR(($E35-'سجل المؤشرات'!$N$21)/($F35-'سجل المؤشرات'!$N$21),""),IF('سجل المؤشرات'!$L$21="موجبة",IFERROR($E35/$F35,""),IFERROR($F35/$E35,""))))),""))</f>
        <v>0.88680229525299947</v>
      </c>
      <c r="H35" s="27" t="str">
        <f t="shared" si="0"/>
        <v>ضمن المستهدف</v>
      </c>
      <c r="I35" s="28">
        <f>IFERROR(IF('سجل المؤشرات'!$L$21="موجبة",$E35-$E34,$E34-$E35),"")</f>
        <v>2.0299999999999985E-2</v>
      </c>
      <c r="J35" s="22"/>
      <c r="K35" s="40" t="str">
        <f t="shared" si="1"/>
        <v>KPI-16|الربع الثاني 2026</v>
      </c>
    </row>
    <row r="37" spans="1:11" x14ac:dyDescent="0.3">
      <c r="A37" s="87" t="s">
        <v>258</v>
      </c>
      <c r="B37" s="68"/>
      <c r="C37" s="68"/>
      <c r="D37" s="68"/>
      <c r="E37" s="68"/>
      <c r="F37" s="68"/>
      <c r="G37" s="68"/>
      <c r="H37" s="68"/>
      <c r="I37" s="68"/>
      <c r="J37" s="68"/>
      <c r="K37" s="68"/>
    </row>
    <row r="38" spans="1:11" x14ac:dyDescent="0.3">
      <c r="A38" s="68"/>
      <c r="B38" s="68"/>
      <c r="C38" s="68"/>
      <c r="D38" s="68"/>
      <c r="E38" s="68"/>
      <c r="F38" s="68"/>
      <c r="G38" s="68"/>
      <c r="H38" s="68"/>
      <c r="I38" s="68"/>
      <c r="J38" s="68"/>
      <c r="K38" s="68"/>
    </row>
  </sheetData>
  <sheetProtection algorithmName="SHA-512" hashValue="0GEJLtgp4ildEqMSdywkCqNGnGJKrp6D5g87vRPr8jP6cb04Kod1W3hPtR8MLCMNXe7Q5yZtSO849tUciK43ww==" saltValue="ZBXFSk9Ab+nmgJyAKmig0Q==" spinCount="100000" sheet="1" formatCells="0" formatColumns="0" formatRows="0" insertColumns="0" insertRows="0" insertHyperlinks="0" deleteColumns="0" deleteRows="0" sort="0" autoFilter="0" pivotTables="0"/>
  <autoFilter ref="A3:K35" xr:uid="{00000000-0009-0000-0000-000003000000}"/>
  <mergeCells count="3">
    <mergeCell ref="A2:K2"/>
    <mergeCell ref="A37:K38"/>
    <mergeCell ref="A1:K1"/>
  </mergeCells>
  <conditionalFormatting sqref="C4:C37">
    <cfRule type="cellIs" dxfId="27" priority="7" operator="equal">
      <formula>"الربع الأول 2026"</formula>
    </cfRule>
    <cfRule type="cellIs" dxfId="26" priority="8" operator="equal">
      <formula>"الربع الثاني 2026"</formula>
    </cfRule>
  </conditionalFormatting>
  <conditionalFormatting sqref="D4:D37">
    <cfRule type="cellIs" dxfId="25" priority="9" operator="equal">
      <formula>"2026-03-31"</formula>
    </cfRule>
    <cfRule type="cellIs" dxfId="24" priority="10" operator="equal">
      <formula>"2026-06-30"</formula>
    </cfRule>
  </conditionalFormatting>
  <conditionalFormatting sqref="H4:H35">
    <cfRule type="cellIs" dxfId="23" priority="1" operator="equal">
      <formula>"متعثر"</formula>
    </cfRule>
    <cfRule type="cellIs" dxfId="22" priority="2" operator="equal">
      <formula>"يحتاج متابعة"</formula>
    </cfRule>
    <cfRule type="cellIs" dxfId="21" priority="3" operator="equal">
      <formula>"ضمن المستهدف"</formula>
    </cfRule>
    <cfRule type="cellIs" dxfId="20" priority="4" operator="equal">
      <formula>"متميز"</formula>
    </cfRule>
  </conditionalFormatting>
  <conditionalFormatting sqref="I4:I35">
    <cfRule type="cellIs" dxfId="19" priority="5" operator="greaterThan">
      <formula>0</formula>
    </cfRule>
    <cfRule type="cellIs" dxfId="18" priority="6" operator="lessThan">
      <formula>0</formula>
    </cfRule>
  </conditionalFormatting>
  <dataValidations count="2">
    <dataValidation type="list" allowBlank="1" sqref="C4:C37" xr:uid="{00000000-0002-0000-0300-000000000000}">
      <formula1>"الربع الأول 2026,الربع الثاني 2026"</formula1>
    </dataValidation>
    <dataValidation type="list" allowBlank="1" sqref="D4:D37" xr:uid="{00000000-0002-0000-0300-000001000000}">
      <formula1>"2026-03-31,2026-06-30"</formula1>
    </dataValidation>
  </dataValidations>
  <pageMargins left="0.75" right="0.75" top="1" bottom="1" header="0.5" footer="0.5"/>
  <pageSetup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1A2E5E"/>
    <pageSetUpPr fitToPage="1"/>
  </sheetPr>
  <dimension ref="B1:G69"/>
  <sheetViews>
    <sheetView showGridLines="0" rightToLeft="1" workbookViewId="0">
      <selection activeCell="K12" sqref="K12"/>
    </sheetView>
  </sheetViews>
  <sheetFormatPr defaultRowHeight="14" x14ac:dyDescent="0.3"/>
  <cols>
    <col min="1" max="1" width="3" customWidth="1"/>
    <col min="2" max="2" width="22" customWidth="1"/>
    <col min="3" max="4" width="17" customWidth="1"/>
    <col min="5" max="5" width="22" customWidth="1"/>
    <col min="6" max="7" width="17" customWidth="1"/>
    <col min="8" max="8" width="3" customWidth="1"/>
  </cols>
  <sheetData>
    <row r="1" spans="2:7" ht="18" customHeight="1" x14ac:dyDescent="0.3"/>
    <row r="2" spans="2:7" ht="18" customHeight="1" x14ac:dyDescent="0.3">
      <c r="D2" s="95" t="s">
        <v>259</v>
      </c>
      <c r="E2" s="68"/>
      <c r="F2" s="68"/>
      <c r="G2" s="68"/>
    </row>
    <row r="3" spans="2:7" ht="18" customHeight="1" x14ac:dyDescent="0.3">
      <c r="D3" s="68"/>
      <c r="E3" s="68"/>
      <c r="F3" s="68"/>
      <c r="G3" s="68"/>
    </row>
    <row r="4" spans="2:7" ht="18" customHeight="1" x14ac:dyDescent="0.3">
      <c r="D4" s="98" t="s">
        <v>260</v>
      </c>
      <c r="E4" s="68"/>
      <c r="F4" s="68"/>
      <c r="G4" s="68"/>
    </row>
    <row r="5" spans="2:7" ht="18" customHeight="1" x14ac:dyDescent="0.3"/>
    <row r="6" spans="2:7" ht="26" customHeight="1" x14ac:dyDescent="0.3">
      <c r="B6" s="41" t="s">
        <v>261</v>
      </c>
      <c r="C6" s="99" t="s">
        <v>118</v>
      </c>
      <c r="D6" s="68"/>
      <c r="E6" s="41" t="s">
        <v>95</v>
      </c>
      <c r="F6" s="102" t="str">
        <f>'سجل المؤشرات'!$B$2</f>
        <v>الربع الثاني 2026</v>
      </c>
      <c r="G6" s="68"/>
    </row>
    <row r="7" spans="2:7" ht="18" customHeight="1" x14ac:dyDescent="0.3"/>
    <row r="8" spans="2:7" ht="32" customHeight="1" x14ac:dyDescent="0.3">
      <c r="B8" s="101" t="str">
        <f>IFERROR(INDEX('سجل المؤشرات'!$B$6:$B$21,MATCH($C$6,'سجل المؤشرات'!$A$6:$A$21,0)),"")</f>
        <v>نسبة الوفاء بالمدد المعلنة للخدمات</v>
      </c>
      <c r="C8" s="68"/>
      <c r="D8" s="68"/>
      <c r="E8" s="68"/>
      <c r="F8" s="68"/>
      <c r="G8" s="68"/>
    </row>
    <row r="9" spans="2:7" ht="20" customHeight="1" x14ac:dyDescent="0.3">
      <c r="B9" s="97" t="str">
        <f>IFERROR("رمز المؤشر: "&amp;$C$6&amp;"     |     المرجعية: "&amp;INDEX('سجل المؤشرات'!$F$6:$F$21,MATCH($C$6,'سجل المؤشرات'!$A$6:$A$21,0)),"")</f>
        <v>رمز المؤشر: KPI-01     |     المرجعية: ISO 10001 بند 6.5 · بند 8.2</v>
      </c>
      <c r="C9" s="68"/>
      <c r="D9" s="68"/>
      <c r="E9" s="68"/>
      <c r="F9" s="68"/>
      <c r="G9" s="68"/>
    </row>
    <row r="10" spans="2:7" ht="36" customHeight="1" x14ac:dyDescent="0.3">
      <c r="B10" s="42" t="s">
        <v>100</v>
      </c>
      <c r="C10" s="96" t="str">
        <f>IFERROR(INDEX('سجل المؤشرات'!$C$6:$C$21,MATCH($C$6,'سجل المؤشرات'!$A$6:$A$21,0)),"")</f>
        <v>نسبة الطلبات المكتملة خلال المدة المعلنة في ميثاق الالتزامات إلى إجمالي الطلبات المكتملة خلال فترة القياس.</v>
      </c>
      <c r="D10" s="81"/>
      <c r="E10" s="81"/>
      <c r="F10" s="81"/>
      <c r="G10" s="81"/>
    </row>
    <row r="11" spans="2:7" ht="22" customHeight="1" x14ac:dyDescent="0.3">
      <c r="B11" s="42" t="s">
        <v>101</v>
      </c>
      <c r="C11" s="92" t="str">
        <f>IFERROR(INDEX('سجل المؤشرات'!$D$6:$D$21,MATCH($C$6,'سجل المؤشرات'!$A$6:$A$21,0)),"")</f>
        <v>الوفاء بالوعد المعلن للمستفيد</v>
      </c>
      <c r="D11" s="81"/>
      <c r="E11" s="42" t="s">
        <v>102</v>
      </c>
      <c r="F11" s="92" t="str">
        <f>IFERROR(INDEX('سجل المؤشرات'!$E$6:$E$21,MATCH($C$6,'سجل المؤشرات'!$A$6:$A$21,0)),"")</f>
        <v>D-10 الالتزامات</v>
      </c>
      <c r="G11" s="81"/>
    </row>
    <row r="12" spans="2:7" ht="22" customHeight="1" x14ac:dyDescent="0.3">
      <c r="B12" s="42" t="s">
        <v>104</v>
      </c>
      <c r="C12" s="92" t="str">
        <f>IFERROR(INDEX('سجل المؤشرات'!$G$6:$G$21,MATCH($C$6,'سجل المؤشرات'!$A$6:$A$21,0)),"")</f>
        <v>خدمة المستفيدين والتراخيص</v>
      </c>
      <c r="D12" s="81"/>
      <c r="E12" s="42" t="s">
        <v>105</v>
      </c>
      <c r="F12" s="92" t="str">
        <f>IFERROR(INDEX('سجل المؤشرات'!$H$6:$H$21,MATCH($C$6,'سجل المؤشرات'!$A$6:$A$21,0)),"")</f>
        <v>التحول الرقمي والأداء المؤسسي</v>
      </c>
      <c r="G12" s="81"/>
    </row>
    <row r="13" spans="2:7" ht="22" customHeight="1" x14ac:dyDescent="0.3">
      <c r="B13" s="42" t="s">
        <v>107</v>
      </c>
      <c r="C13" s="92" t="str">
        <f>IFERROR(INDEX('سجل المؤشرات'!$J$6:$J$21,MATCH($C$6,'سجل المؤشرات'!$A$6:$A$21,0)),"")</f>
        <v>نسبة مئوية</v>
      </c>
      <c r="D13" s="81"/>
      <c r="E13" s="42" t="s">
        <v>57</v>
      </c>
      <c r="F13" s="92" t="str">
        <f>IFERROR(INDEX('سجل المؤشرات'!$K$6:$K$21,MATCH($C$6,'سجل المؤشرات'!$A$6:$A$21,0)),"")</f>
        <v>شهري</v>
      </c>
      <c r="G13" s="81"/>
    </row>
    <row r="14" spans="2:7" ht="22" customHeight="1" x14ac:dyDescent="0.3">
      <c r="B14" s="42" t="s">
        <v>25</v>
      </c>
      <c r="C14" s="92" t="str">
        <f>IFERROR(INDEX('سجل المؤشرات'!$L$6:$L$21,MATCH($C$6,'سجل المؤشرات'!$A$6:$A$21,0)),"")</f>
        <v>موجبة</v>
      </c>
      <c r="D14" s="81"/>
      <c r="E14" s="42" t="s">
        <v>49</v>
      </c>
      <c r="F14" s="93">
        <f>IFERROR(INDEX('سجل المؤشرات'!$M$6:$M$21,MATCH($C$6,'سجل المؤشرات'!$A$6:$A$21,0)),"")</f>
        <v>0.12</v>
      </c>
      <c r="G14" s="81"/>
    </row>
    <row r="15" spans="2:7" ht="32" customHeight="1" x14ac:dyDescent="0.3">
      <c r="B15" s="42" t="s">
        <v>106</v>
      </c>
      <c r="C15" s="100" t="str">
        <f>IFERROR(INDEX('سجل المؤشرات'!$I$6:$I$21,MATCH($C$6,'سجل المؤشرات'!$A$6:$A$21,0)),"")</f>
        <v>(عدد الطلبات المكتملة ضمن المدة المعلنة ÷ إجمالي الطلبات المكتملة) × 100</v>
      </c>
      <c r="D15" s="81"/>
      <c r="E15" s="81"/>
      <c r="F15" s="81"/>
      <c r="G15" s="81"/>
    </row>
    <row r="16" spans="2:7" ht="22" customHeight="1" x14ac:dyDescent="0.3">
      <c r="B16" s="42" t="s">
        <v>113</v>
      </c>
      <c r="C16" s="96" t="str">
        <f>IFERROR(INDEX('سجل المؤشرات'!$U$6:$U$21,MATCH($C$6,'سجل المؤشرات'!$A$6:$A$21,0)),"")</f>
        <v>TBL_REQ — عمود حالة الالتزام</v>
      </c>
      <c r="D16" s="81"/>
      <c r="E16" s="81"/>
      <c r="F16" s="81"/>
      <c r="G16" s="81"/>
    </row>
    <row r="17" spans="2:7" ht="18" customHeight="1" x14ac:dyDescent="0.3"/>
    <row r="18" spans="2:7" ht="22" customHeight="1" x14ac:dyDescent="0.3">
      <c r="B18" s="91" t="s">
        <v>262</v>
      </c>
      <c r="C18" s="68"/>
      <c r="D18" s="68"/>
      <c r="E18" s="68"/>
      <c r="F18" s="68"/>
      <c r="G18" s="68"/>
    </row>
    <row r="19" spans="2:7" ht="22" customHeight="1" x14ac:dyDescent="0.3">
      <c r="B19" s="42" t="s">
        <v>29</v>
      </c>
      <c r="C19" s="92">
        <f>IFERROR(INDEX('سجل المؤشرات'!$N$6:$N$21,MATCH($C$6,'سجل المؤشرات'!$A$6:$A$21,0)),"")</f>
        <v>0.72</v>
      </c>
      <c r="D19" s="81"/>
      <c r="E19" s="42" t="s">
        <v>263</v>
      </c>
      <c r="F19" s="92" t="str">
        <f>IFERROR(INDEX('سجل المؤشرات'!$O$6:$O$21,MATCH($C$6,'سجل المؤشرات'!$A$6:$A$21,0)),"")</f>
        <v>2025-12-31</v>
      </c>
      <c r="G19" s="81"/>
    </row>
    <row r="20" spans="2:7" ht="22" customHeight="1" x14ac:dyDescent="0.3">
      <c r="B20" s="42" t="s">
        <v>33</v>
      </c>
      <c r="C20" s="92">
        <f>IFERROR(INDEX('سجل المؤشرات'!$P$6:$P$21,MATCH($C$6,'سجل المؤشرات'!$A$6:$A$21,0)),"")</f>
        <v>0.9</v>
      </c>
      <c r="D20" s="81"/>
      <c r="E20" s="42" t="s">
        <v>114</v>
      </c>
      <c r="F20" s="92" t="str">
        <f>IFERROR(INDEX('سجل المؤشرات'!$V$6:$V$21,MATCH($C$6,'سجل المؤشرات'!$A$6:$A$21,0)),"")</f>
        <v>نسبة إلى المستهدف</v>
      </c>
      <c r="G20" s="81"/>
    </row>
    <row r="21" spans="2:7" ht="18" customHeight="1" x14ac:dyDescent="0.3"/>
    <row r="22" spans="2:7" ht="22" customHeight="1" x14ac:dyDescent="0.3">
      <c r="B22" s="91" t="s">
        <v>264</v>
      </c>
      <c r="C22" s="68"/>
      <c r="D22" s="68"/>
      <c r="E22" s="68"/>
      <c r="F22" s="68"/>
      <c r="G22" s="68"/>
    </row>
    <row r="23" spans="2:7" ht="20" customHeight="1" x14ac:dyDescent="0.3">
      <c r="B23" s="36" t="s">
        <v>243</v>
      </c>
      <c r="C23" s="36" t="s">
        <v>265</v>
      </c>
      <c r="D23" s="36" t="s">
        <v>266</v>
      </c>
      <c r="E23" s="36" t="s">
        <v>267</v>
      </c>
      <c r="F23" s="36" t="s">
        <v>268</v>
      </c>
    </row>
    <row r="24" spans="2:7" ht="22" customHeight="1" x14ac:dyDescent="0.3">
      <c r="B24" s="43" t="s">
        <v>269</v>
      </c>
      <c r="C24" s="44">
        <f>IFERROR(INDEX('سجل المؤشرات'!$Q$6:$Q$21,MATCH($C$6,'سجل المؤشرات'!$A$6:$A$21,0)),"")</f>
        <v>0.8</v>
      </c>
      <c r="D24" s="44">
        <f>IFERROR(INDEX('سجل المؤشرات'!$R$6:$R$21,MATCH($C$6,'سجل المؤشرات'!$A$6:$A$21,0)),"")</f>
        <v>0.85</v>
      </c>
      <c r="E24" s="44">
        <f>IFERROR(INDEX('سجل المؤشرات'!$S$6:$S$21,MATCH($C$6,'سجل المؤشرات'!$A$6:$A$21,0)),"")</f>
        <v>0.88</v>
      </c>
      <c r="F24" s="44">
        <f>IFERROR(INDEX('سجل المؤشرات'!$T$6:$T$21,MATCH($C$6,'سجل المؤشرات'!$A$6:$A$21,0)),"")</f>
        <v>0.9</v>
      </c>
    </row>
    <row r="25" spans="2:7" ht="18" customHeight="1" x14ac:dyDescent="0.3"/>
    <row r="26" spans="2:7" ht="22" customHeight="1" x14ac:dyDescent="0.3">
      <c r="B26" s="91" t="s">
        <v>270</v>
      </c>
      <c r="C26" s="68"/>
      <c r="D26" s="68"/>
      <c r="E26" s="68"/>
      <c r="F26" s="68"/>
      <c r="G26" s="68"/>
    </row>
    <row r="27" spans="2:7" ht="22" customHeight="1" x14ac:dyDescent="0.3">
      <c r="B27" s="45" t="s">
        <v>245</v>
      </c>
      <c r="C27" s="45" t="s">
        <v>244</v>
      </c>
      <c r="D27" s="45" t="s">
        <v>117</v>
      </c>
      <c r="E27" s="45" t="s">
        <v>74</v>
      </c>
      <c r="F27" s="45" t="s">
        <v>53</v>
      </c>
      <c r="G27" s="45" t="s">
        <v>271</v>
      </c>
    </row>
    <row r="28" spans="2:7" ht="32" customHeight="1" x14ac:dyDescent="0.3">
      <c r="B28" s="46">
        <f>IFERROR(INDEX('سجل المؤشرات'!$W$6:$W$21,MATCH($C$6,'سجل المؤشرات'!$A$6:$A$21,0)),"")</f>
        <v>0.80610000000000004</v>
      </c>
      <c r="C28" s="46" t="str">
        <f>IFERROR(INDEX('سجل المؤشرات'!$X$6:$X$21,MATCH($C$6,'سجل المؤشرات'!$A$6:$A$21,0)),"")</f>
        <v>2026-06-30</v>
      </c>
      <c r="D28" s="47">
        <f>IFERROR(INDEX('سجل المؤشرات'!$Y$6:$Y$21,MATCH($C$6,'سجل المؤشرات'!$A$6:$A$21,0)),"")</f>
        <v>0.89566666666666672</v>
      </c>
      <c r="E28" s="46" t="str">
        <f>IFERROR(INDEX('سجل المؤشرات'!$Z$6:$Z$21,MATCH($C$6,'سجل المؤشرات'!$A$6:$A$21,0)),"")</f>
        <v>ضمن المستهدف</v>
      </c>
      <c r="F28" s="47">
        <f>IFERROR(INDEX('سجل المؤشرات'!$AA$6:$AA$21,MATCH($C$6,'سجل المؤشرات'!$A$6:$A$21,0)),"")</f>
        <v>0.10748000000000001</v>
      </c>
      <c r="G28" s="48" t="str">
        <f>IFERROR(IF(INDEX('سجل القراءات'!$I$4:$I$35,MATCH($C$6&amp;"|"&amp;'سجل المؤشرات'!$B$2,'سجل القراءات'!$K$4:$K$35,0))&gt;0,"تحسن","تراجع"),"—")</f>
        <v>تحسن</v>
      </c>
    </row>
    <row r="29" spans="2:7" ht="18" customHeight="1" x14ac:dyDescent="0.3"/>
    <row r="30" spans="2:7" ht="22" customHeight="1" x14ac:dyDescent="0.3">
      <c r="B30" s="91" t="s">
        <v>72</v>
      </c>
      <c r="C30" s="68"/>
      <c r="D30" s="68"/>
      <c r="E30" s="68"/>
      <c r="F30" s="68"/>
      <c r="G30" s="68"/>
    </row>
    <row r="31" spans="2:7" ht="20" customHeight="1" x14ac:dyDescent="0.3">
      <c r="B31" s="49" t="s">
        <v>78</v>
      </c>
      <c r="C31" s="50" t="s">
        <v>82</v>
      </c>
      <c r="D31" s="51" t="s">
        <v>86</v>
      </c>
      <c r="E31" s="52" t="s">
        <v>90</v>
      </c>
      <c r="F31" s="94" t="s">
        <v>272</v>
      </c>
      <c r="G31" s="68"/>
    </row>
    <row r="32" spans="2:7" ht="18" customHeight="1" x14ac:dyDescent="0.3">
      <c r="B32" s="53" t="s">
        <v>79</v>
      </c>
      <c r="C32" s="53" t="s">
        <v>83</v>
      </c>
      <c r="D32" s="53" t="s">
        <v>87</v>
      </c>
      <c r="E32" s="53" t="s">
        <v>91</v>
      </c>
      <c r="F32" s="68"/>
      <c r="G32" s="68"/>
    </row>
    <row r="33" spans="2:7" ht="18" customHeight="1" x14ac:dyDescent="0.3"/>
    <row r="34" spans="2:7" ht="18" customHeight="1" x14ac:dyDescent="0.3">
      <c r="B34" s="90" t="s">
        <v>273</v>
      </c>
      <c r="C34" s="68"/>
      <c r="D34" s="68"/>
      <c r="E34" s="68"/>
      <c r="F34" s="68"/>
      <c r="G34" s="68"/>
    </row>
    <row r="35" spans="2:7" ht="18" customHeight="1" x14ac:dyDescent="0.3">
      <c r="B35" s="68"/>
      <c r="C35" s="68"/>
      <c r="D35" s="68"/>
      <c r="E35" s="68"/>
      <c r="F35" s="68"/>
      <c r="G35" s="68"/>
    </row>
    <row r="36" spans="2:7" ht="18" customHeight="1" x14ac:dyDescent="0.3"/>
    <row r="37" spans="2:7" ht="18" customHeight="1" x14ac:dyDescent="0.3"/>
    <row r="38" spans="2:7" ht="18" customHeight="1" x14ac:dyDescent="0.3"/>
    <row r="39" spans="2:7" ht="18" customHeight="1" x14ac:dyDescent="0.3"/>
    <row r="40" spans="2:7" ht="18" customHeight="1" x14ac:dyDescent="0.3"/>
    <row r="41" spans="2:7" ht="18" customHeight="1" x14ac:dyDescent="0.3"/>
    <row r="42" spans="2:7" ht="18" customHeight="1" x14ac:dyDescent="0.3"/>
    <row r="43" spans="2:7" ht="18" customHeight="1" x14ac:dyDescent="0.3"/>
    <row r="44" spans="2:7" ht="18" customHeight="1" x14ac:dyDescent="0.3"/>
    <row r="45" spans="2:7" ht="18" customHeight="1" x14ac:dyDescent="0.3"/>
    <row r="46" spans="2:7" ht="18" customHeight="1" x14ac:dyDescent="0.3"/>
    <row r="47" spans="2:7" ht="18" customHeight="1" x14ac:dyDescent="0.3"/>
    <row r="48" spans="2:7" ht="18" customHeight="1" x14ac:dyDescent="0.3"/>
    <row r="49" ht="18" customHeight="1" x14ac:dyDescent="0.3"/>
    <row r="50" ht="18" customHeight="1" x14ac:dyDescent="0.3"/>
    <row r="51" ht="18" customHeight="1" x14ac:dyDescent="0.3"/>
    <row r="52" ht="18" customHeight="1" x14ac:dyDescent="0.3"/>
    <row r="53" ht="18" customHeight="1" x14ac:dyDescent="0.3"/>
    <row r="54" ht="18" customHeight="1" x14ac:dyDescent="0.3"/>
    <row r="55" ht="18" customHeight="1" x14ac:dyDescent="0.3"/>
    <row r="56" ht="18" customHeight="1" x14ac:dyDescent="0.3"/>
    <row r="57" ht="18" customHeight="1" x14ac:dyDescent="0.3"/>
    <row r="58" ht="18" customHeight="1" x14ac:dyDescent="0.3"/>
    <row r="59" ht="18" customHeight="1" x14ac:dyDescent="0.3"/>
    <row r="60" ht="18" customHeight="1" x14ac:dyDescent="0.3"/>
    <row r="61" ht="18" customHeight="1" x14ac:dyDescent="0.3"/>
    <row r="62" ht="18" customHeight="1" x14ac:dyDescent="0.3"/>
    <row r="63" ht="18" customHeight="1" x14ac:dyDescent="0.3"/>
    <row r="64" ht="18" customHeight="1" x14ac:dyDescent="0.3"/>
    <row r="65" ht="18" customHeight="1" x14ac:dyDescent="0.3"/>
    <row r="66" ht="18" customHeight="1" x14ac:dyDescent="0.3"/>
    <row r="67" ht="18" customHeight="1" x14ac:dyDescent="0.3"/>
    <row r="68" ht="18" customHeight="1" x14ac:dyDescent="0.3"/>
    <row r="69" ht="18" customHeight="1" x14ac:dyDescent="0.3"/>
  </sheetData>
  <sheetProtection algorithmName="SHA-512" hashValue="e4ua6t8zE4ttYbkGmmtklext+zPaSXTPdJ1JjVMVfpdewDKf0MMN2jAQaw2t9LnNVYb8EoUrxAmOFL/oUiWyHA==" saltValue="WOB9Kb5z9q5dwku6GhA5Og==" spinCount="100000" sheet="1" formatCells="0" formatColumns="0" formatRows="0" insertColumns="0" insertRows="0" insertHyperlinks="0" deleteColumns="0" deleteRows="0" sort="0" autoFilter="0" pivotTables="0"/>
  <mergeCells count="27">
    <mergeCell ref="F6:G6"/>
    <mergeCell ref="D2:G3"/>
    <mergeCell ref="C20:D20"/>
    <mergeCell ref="F12:G12"/>
    <mergeCell ref="C10:G10"/>
    <mergeCell ref="C16:G16"/>
    <mergeCell ref="B9:G9"/>
    <mergeCell ref="F20:G20"/>
    <mergeCell ref="C12:D12"/>
    <mergeCell ref="C11:D11"/>
    <mergeCell ref="F13:G13"/>
    <mergeCell ref="D4:G4"/>
    <mergeCell ref="F11:G11"/>
    <mergeCell ref="C6:D6"/>
    <mergeCell ref="C15:G15"/>
    <mergeCell ref="F19:G19"/>
    <mergeCell ref="B8:G8"/>
    <mergeCell ref="B34:G35"/>
    <mergeCell ref="B22:G22"/>
    <mergeCell ref="C19:D19"/>
    <mergeCell ref="C13:D13"/>
    <mergeCell ref="F14:G14"/>
    <mergeCell ref="B18:G18"/>
    <mergeCell ref="F31:G32"/>
    <mergeCell ref="B30:G30"/>
    <mergeCell ref="B26:G26"/>
    <mergeCell ref="C14:D14"/>
  </mergeCells>
  <conditionalFormatting sqref="E28">
    <cfRule type="cellIs" dxfId="17" priority="1" operator="equal">
      <formula>"متعثر"</formula>
    </cfRule>
    <cfRule type="cellIs" dxfId="16" priority="2" operator="equal">
      <formula>"يحتاج متابعة"</formula>
    </cfRule>
    <cfRule type="cellIs" dxfId="15" priority="3" operator="equal">
      <formula>"ضمن المستهدف"</formula>
    </cfRule>
    <cfRule type="cellIs" dxfId="14" priority="4" operator="equal">
      <formula>"متميز"</formula>
    </cfRule>
  </conditionalFormatting>
  <conditionalFormatting sqref="G28">
    <cfRule type="cellIs" dxfId="13" priority="5" operator="equal">
      <formula>"تحسن"</formula>
    </cfRule>
    <cfRule type="cellIs" dxfId="12" priority="6" operator="equal">
      <formula>"تراجع"</formula>
    </cfRule>
  </conditionalFormatting>
  <pageMargins left="0.75" right="0.75" top="1" bottom="1" header="0.5" footer="0.5"/>
  <pageSetup orientation="portrait"/>
  <drawing r:id="rId1"/>
  <extLst>
    <ext xmlns:x14="http://schemas.microsoft.com/office/spreadsheetml/2009/9/main" uri="{CCE6A557-97BC-4b89-ADB6-D9C93CAAB3DF}">
      <x14:dataValidations xmlns:xm="http://schemas.microsoft.com/office/excel/2006/main" count="1">
        <x14:dataValidation type="list" xr:uid="{00000000-0002-0000-0400-000000000000}">
          <x14:formula1>
            <xm:f>'سجل المؤشرات'!$A$6:$A$21</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8A84B"/>
    <pageSetUpPr fitToPage="1"/>
  </sheetPr>
  <dimension ref="A1:I89"/>
  <sheetViews>
    <sheetView showGridLines="0" rightToLeft="1" workbookViewId="0">
      <selection activeCell="N11" sqref="N11"/>
    </sheetView>
  </sheetViews>
  <sheetFormatPr defaultRowHeight="14" x14ac:dyDescent="0.3"/>
  <cols>
    <col min="1" max="1" width="3" customWidth="1"/>
    <col min="2" max="2" width="30" customWidth="1"/>
    <col min="3" max="6" width="16" customWidth="1"/>
    <col min="7" max="7" width="18" customWidth="1"/>
    <col min="8" max="8" width="20" customWidth="1"/>
    <col min="9" max="9" width="3" customWidth="1"/>
  </cols>
  <sheetData>
    <row r="1" spans="1:9" ht="26" customHeight="1" x14ac:dyDescent="0.3">
      <c r="A1" s="67" t="s">
        <v>274</v>
      </c>
      <c r="B1" s="68"/>
      <c r="C1" s="68"/>
      <c r="D1" s="68"/>
      <c r="E1" s="68"/>
      <c r="F1" s="68"/>
      <c r="G1" s="68"/>
      <c r="H1" s="68"/>
      <c r="I1" s="68"/>
    </row>
    <row r="2" spans="1:9" ht="22" customHeight="1" x14ac:dyDescent="0.3">
      <c r="A2" s="74" t="s">
        <v>275</v>
      </c>
      <c r="B2" s="68"/>
      <c r="C2" s="68"/>
      <c r="D2" s="68"/>
      <c r="E2" s="68"/>
      <c r="F2" s="68"/>
      <c r="G2" s="68"/>
      <c r="H2" s="68"/>
      <c r="I2" s="68"/>
    </row>
    <row r="3" spans="1:9" ht="17" customHeight="1" x14ac:dyDescent="0.3"/>
    <row r="4" spans="1:9" ht="22" customHeight="1" x14ac:dyDescent="0.3">
      <c r="B4" s="73" t="s">
        <v>276</v>
      </c>
      <c r="C4" s="68"/>
      <c r="D4" s="68"/>
      <c r="E4" s="73" t="s">
        <v>277</v>
      </c>
      <c r="F4" s="68"/>
      <c r="G4" s="73" t="s">
        <v>95</v>
      </c>
      <c r="H4" s="68"/>
    </row>
    <row r="5" spans="1:9" ht="30" customHeight="1" x14ac:dyDescent="0.3">
      <c r="B5" s="76">
        <f>IFERROR(SUM('سجل المؤشرات'!$AA$6:$AA$21),"")</f>
        <v>0.82214881729382427</v>
      </c>
      <c r="C5" s="68"/>
      <c r="D5" s="68"/>
      <c r="E5" s="70" t="str">
        <f>IF($B$5="","—",IF($B$5&gt;=0.99,"متميز",IF($B$5&gt;=0.85,"ضمن المستهدف",IF($B$5&gt;=0.7,"يحتاج متابعة","متعثر"))))</f>
        <v>يحتاج متابعة</v>
      </c>
      <c r="F5" s="68"/>
      <c r="G5" s="69" t="str">
        <f>'سجل المؤشرات'!$B$2</f>
        <v>الربع الثاني 2026</v>
      </c>
      <c r="H5" s="68"/>
    </row>
    <row r="6" spans="1:9" ht="22" customHeight="1" x14ac:dyDescent="0.3">
      <c r="B6" s="68"/>
      <c r="C6" s="68"/>
      <c r="D6" s="68"/>
      <c r="E6" s="68"/>
      <c r="F6" s="68"/>
      <c r="G6" s="68"/>
      <c r="H6" s="68"/>
    </row>
    <row r="7" spans="1:9" ht="17" customHeight="1" x14ac:dyDescent="0.3"/>
    <row r="8" spans="1:9" ht="22" customHeight="1" x14ac:dyDescent="0.3">
      <c r="B8" s="72" t="s">
        <v>278</v>
      </c>
      <c r="C8" s="68"/>
      <c r="D8" s="68"/>
      <c r="E8" s="68"/>
      <c r="F8" s="68"/>
      <c r="G8" s="68"/>
      <c r="H8" s="68"/>
    </row>
    <row r="9" spans="1:9" ht="20" customHeight="1" x14ac:dyDescent="0.3">
      <c r="B9" s="49" t="s">
        <v>78</v>
      </c>
      <c r="C9" s="50" t="s">
        <v>82</v>
      </c>
      <c r="D9" s="51" t="s">
        <v>86</v>
      </c>
      <c r="E9" s="52" t="s">
        <v>90</v>
      </c>
      <c r="F9" s="36" t="s">
        <v>239</v>
      </c>
      <c r="G9" s="71" t="s">
        <v>279</v>
      </c>
      <c r="H9" s="68"/>
    </row>
    <row r="10" spans="1:9" ht="30" customHeight="1" x14ac:dyDescent="0.3">
      <c r="B10" s="54">
        <f>COUNTIF('سجل المؤشرات'!$Z$6:$Z$21,"متعثر")</f>
        <v>4</v>
      </c>
      <c r="C10" s="55">
        <f>COUNTIF('سجل المؤشرات'!$Z$6:$Z$21,"يحتاج متابعة")</f>
        <v>3</v>
      </c>
      <c r="D10" s="56">
        <f>COUNTIF('سجل المؤشرات'!$Z$6:$Z$21,"ضمن المستهدف")</f>
        <v>3</v>
      </c>
      <c r="E10" s="57">
        <f>COUNTIF('سجل المؤشرات'!$Z$6:$Z$21,"متميز")</f>
        <v>6</v>
      </c>
      <c r="F10" s="58">
        <f>SUM('سجل المؤشرات'!$M$6:$M$21)</f>
        <v>1.0000000000000002</v>
      </c>
      <c r="G10" s="77" t="str">
        <f>IFERROR(INDEX('سجل المؤشرات'!$A$6:$A$21,MATCH(SMALL('سجل المؤشرات'!$Y$6:$Y$21,1),'سجل المؤشرات'!$Y$6:$Y$21,0)) &amp; " · " &amp; INDEX('سجل المؤشرات'!$A$6:$A$21,MATCH(SMALL('سجل المؤشرات'!$Y$6:$Y$21,2),'سجل المؤشرات'!$Y$6:$Y$21,0)) &amp; " · " &amp; INDEX('سجل المؤشرات'!$A$6:$A$21,MATCH(SMALL('سجل المؤشرات'!$Y$6:$Y$21,3),'سجل المؤشرات'!$Y$6:$Y$21,0)),"")</f>
        <v>KPI-14 · KPI-11 · KPI-10</v>
      </c>
      <c r="H10" s="68"/>
    </row>
    <row r="11" spans="1:9" ht="17" customHeight="1" x14ac:dyDescent="0.3"/>
    <row r="12" spans="1:9" ht="22" customHeight="1" x14ac:dyDescent="0.3">
      <c r="B12" s="72" t="s">
        <v>280</v>
      </c>
      <c r="C12" s="68"/>
      <c r="D12" s="68"/>
      <c r="E12" s="68"/>
      <c r="F12" s="68"/>
      <c r="G12" s="68"/>
      <c r="H12" s="68"/>
    </row>
    <row r="13" spans="1:9" ht="26" customHeight="1" x14ac:dyDescent="0.3">
      <c r="B13" s="2" t="s">
        <v>101</v>
      </c>
      <c r="C13" s="2" t="s">
        <v>103</v>
      </c>
      <c r="D13" s="2" t="s">
        <v>7</v>
      </c>
      <c r="E13" s="2" t="s">
        <v>281</v>
      </c>
      <c r="F13" s="2" t="s">
        <v>53</v>
      </c>
      <c r="G13" s="2" t="s">
        <v>282</v>
      </c>
      <c r="H13" s="2" t="s">
        <v>74</v>
      </c>
    </row>
    <row r="14" spans="1:9" ht="22" customHeight="1" x14ac:dyDescent="0.3">
      <c r="B14" s="4" t="s">
        <v>121</v>
      </c>
      <c r="C14" s="4" t="s">
        <v>283</v>
      </c>
      <c r="D14" s="3">
        <f>COUNTIF('سجل المؤشرات'!$D$6:$D$21,$B14)</f>
        <v>2</v>
      </c>
      <c r="E14" s="59">
        <f>SUMIF('سجل المؤشرات'!$D$6:$D$21,$B14,'سجل المؤشرات'!$M$6:$M$21)</f>
        <v>0.16</v>
      </c>
      <c r="F14" s="60">
        <f>SUMIF('سجل المؤشرات'!$D$6:$D$21,$B14,'سجل المؤشرات'!$AA$6:$AA$21)</f>
        <v>0.15548000000000001</v>
      </c>
      <c r="G14" s="60">
        <f>IFERROR($F14/$E14,"")</f>
        <v>0.97175</v>
      </c>
      <c r="H14" s="3" t="str">
        <f>IF($G14="","—",IF($G14&gt;=0.99,"متميز",IF($G14&gt;=0.85,"ضمن المستهدف",IF($G14&gt;=0.7,"يحتاج متابعة","متعثر"))))</f>
        <v>ضمن المستهدف</v>
      </c>
    </row>
    <row r="15" spans="1:9" ht="22" customHeight="1" x14ac:dyDescent="0.3">
      <c r="B15" s="6" t="s">
        <v>207</v>
      </c>
      <c r="C15" s="6" t="s">
        <v>284</v>
      </c>
      <c r="D15" s="5">
        <f>COUNTIF('سجل المؤشرات'!$D$6:$D$21,$B15)</f>
        <v>2</v>
      </c>
      <c r="E15" s="61">
        <f>SUMIF('سجل المؤشرات'!$D$6:$D$21,$B15,'سجل المؤشرات'!$M$6:$M$21)</f>
        <v>0.09</v>
      </c>
      <c r="F15" s="62">
        <f>SUMIF('سجل المؤشرات'!$D$6:$D$21,$B15,'سجل المؤشرات'!$AA$6:$AA$21)</f>
        <v>8.4644092827004219E-2</v>
      </c>
      <c r="G15" s="62">
        <f>IFERROR($F15/$E15,"")</f>
        <v>0.94048992030004697</v>
      </c>
      <c r="H15" s="5" t="str">
        <f>IF($G15="","—",IF($G15&gt;=0.99,"متميز",IF($G15&gt;=0.85,"ضمن المستهدف",IF($G15&gt;=0.7,"يحتاج متابعة","متعثر"))))</f>
        <v>ضمن المستهدف</v>
      </c>
    </row>
    <row r="16" spans="1:9" ht="22" customHeight="1" x14ac:dyDescent="0.3">
      <c r="B16" s="4" t="s">
        <v>143</v>
      </c>
      <c r="C16" s="4" t="s">
        <v>285</v>
      </c>
      <c r="D16" s="3">
        <f>COUNTIF('سجل المؤشرات'!$D$6:$D$21,$B16)</f>
        <v>7</v>
      </c>
      <c r="E16" s="59">
        <f>SUMIF('سجل المؤشرات'!$D$6:$D$21,$B16,'سجل المؤشرات'!$M$6:$M$21)</f>
        <v>0.33999999999999997</v>
      </c>
      <c r="F16" s="60">
        <f>SUMIF('سجل المؤشرات'!$D$6:$D$21,$B16,'سجل المؤشرات'!$AA$6:$AA$21)</f>
        <v>0.31814657747655523</v>
      </c>
      <c r="G16" s="60">
        <f>IFERROR($F16/$E16,"")</f>
        <v>0.93572522787222134</v>
      </c>
      <c r="H16" s="3" t="str">
        <f>IF($G16="","—",IF($G16&gt;=0.99,"متميز",IF($G16&gt;=0.85,"ضمن المستهدف",IF($G16&gt;=0.7,"يحتاج متابعة","متعثر"))))</f>
        <v>ضمن المستهدف</v>
      </c>
    </row>
    <row r="17" spans="2:8" ht="22" customHeight="1" x14ac:dyDescent="0.3">
      <c r="B17" s="6" t="s">
        <v>186</v>
      </c>
      <c r="C17" s="6" t="s">
        <v>286</v>
      </c>
      <c r="D17" s="5">
        <f>COUNTIF('سجل المؤشرات'!$D$6:$D$21,$B17)</f>
        <v>3</v>
      </c>
      <c r="E17" s="61">
        <f>SUMIF('سجل المؤشرات'!$D$6:$D$21,$B17,'سجل المؤشرات'!$M$6:$M$21)</f>
        <v>0.30000000000000004</v>
      </c>
      <c r="F17" s="62">
        <f>SUMIF('سجل المؤشرات'!$D$6:$D$21,$B17,'سجل المؤشرات'!$AA$6:$AA$21)</f>
        <v>0.18599638228438231</v>
      </c>
      <c r="G17" s="62">
        <f>IFERROR($F17/$E17,"")</f>
        <v>0.61998794094794096</v>
      </c>
      <c r="H17" s="5" t="str">
        <f>IF($G17="","—",IF($G17&gt;=0.99,"متميز",IF($G17&gt;=0.85,"ضمن المستهدف",IF($G17&gt;=0.7,"يحتاج متابعة","متعثر"))))</f>
        <v>متعثر</v>
      </c>
    </row>
    <row r="18" spans="2:8" ht="22" customHeight="1" x14ac:dyDescent="0.3">
      <c r="B18" s="4" t="s">
        <v>215</v>
      </c>
      <c r="C18" s="4" t="s">
        <v>287</v>
      </c>
      <c r="D18" s="3">
        <f>COUNTIF('سجل المؤشرات'!$D$6:$D$21,$B18)</f>
        <v>2</v>
      </c>
      <c r="E18" s="59">
        <f>SUMIF('سجل المؤشرات'!$D$6:$D$21,$B18,'سجل المؤشرات'!$M$6:$M$21)</f>
        <v>0.11</v>
      </c>
      <c r="F18" s="60">
        <f>SUMIF('سجل المؤشرات'!$D$6:$D$21,$B18,'سجل المؤشرات'!$AA$6:$AA$21)</f>
        <v>7.7881764705882345E-2</v>
      </c>
      <c r="G18" s="60">
        <f>IFERROR($F18/$E18,"")</f>
        <v>0.70801604278074859</v>
      </c>
      <c r="H18" s="3" t="str">
        <f>IF($G18="","—",IF($G18&gt;=0.99,"متميز",IF($G18&gt;=0.85,"ضمن المستهدف",IF($G18&gt;=0.7,"يحتاج متابعة","متعثر"))))</f>
        <v>يحتاج متابعة</v>
      </c>
    </row>
    <row r="19" spans="2:8" ht="17" customHeight="1" x14ac:dyDescent="0.3"/>
    <row r="20" spans="2:8" ht="22" customHeight="1" x14ac:dyDescent="0.3">
      <c r="B20" s="72" t="s">
        <v>288</v>
      </c>
      <c r="C20" s="68"/>
      <c r="D20" s="68"/>
      <c r="E20" s="68"/>
      <c r="F20" s="68"/>
      <c r="G20" s="68"/>
      <c r="H20" s="68"/>
    </row>
    <row r="21" spans="2:8" ht="26" customHeight="1" x14ac:dyDescent="0.3">
      <c r="B21" s="2" t="s">
        <v>289</v>
      </c>
      <c r="C21" s="2" t="s">
        <v>104</v>
      </c>
      <c r="D21" s="2" t="s">
        <v>115</v>
      </c>
      <c r="E21" s="2" t="s">
        <v>33</v>
      </c>
      <c r="F21" s="2" t="s">
        <v>281</v>
      </c>
      <c r="G21" s="2" t="s">
        <v>117</v>
      </c>
      <c r="H21" s="2" t="s">
        <v>74</v>
      </c>
    </row>
    <row r="22" spans="2:8" ht="19" customHeight="1" x14ac:dyDescent="0.3">
      <c r="B22" s="63" t="str">
        <f>'سجل المؤشرات'!$B$6</f>
        <v>نسبة الوفاء بالمدد المعلنة للخدمات</v>
      </c>
      <c r="C22" s="63" t="str">
        <f>'سجل المؤشرات'!$G$6</f>
        <v>خدمة المستفيدين والتراخيص</v>
      </c>
      <c r="D22" s="18">
        <f>'سجل المؤشرات'!$W$6</f>
        <v>0.80610000000000004</v>
      </c>
      <c r="E22" s="18">
        <f>'سجل المؤشرات'!$P$6</f>
        <v>0.9</v>
      </c>
      <c r="F22" s="64">
        <f>'سجل المؤشرات'!$M$6</f>
        <v>0.12</v>
      </c>
      <c r="G22" s="18">
        <f>'سجل المؤشرات'!$Y$6</f>
        <v>0.89566666666666672</v>
      </c>
      <c r="H22" s="19" t="str">
        <f>'سجل المؤشرات'!$Z$6</f>
        <v>ضمن المستهدف</v>
      </c>
    </row>
    <row r="23" spans="2:8" ht="19" customHeight="1" x14ac:dyDescent="0.3">
      <c r="B23" s="65" t="str">
        <f>'سجل المؤشرات'!$B$7</f>
        <v>متوسط أيام تجاوز المدة المعلنة</v>
      </c>
      <c r="C23" s="65" t="str">
        <f>'سجل المؤشرات'!$G$7</f>
        <v>خدمة المستفيدين والتراخيص</v>
      </c>
      <c r="D23" s="26">
        <f>'سجل المؤشرات'!$W$7</f>
        <v>1.5</v>
      </c>
      <c r="E23" s="26">
        <f>'سجل المؤشرات'!$P$7</f>
        <v>2</v>
      </c>
      <c r="F23" s="66">
        <f>'سجل المؤشرات'!$M$7</f>
        <v>0.04</v>
      </c>
      <c r="G23" s="28">
        <f>'سجل المؤشرات'!$Y$7</f>
        <v>1.2</v>
      </c>
      <c r="H23" s="27" t="str">
        <f>'سجل المؤشرات'!$Z$7</f>
        <v>متميز</v>
      </c>
    </row>
    <row r="24" spans="2:8" ht="19" customHeight="1" x14ac:dyDescent="0.3">
      <c r="B24" s="63" t="str">
        <f>'سجل المؤشرات'!$B$8</f>
        <v>عدد الشكاوى لكل مئة طلب</v>
      </c>
      <c r="C24" s="63" t="str">
        <f>'سجل المؤشرات'!$G$8</f>
        <v>خدمة المستفيدين والتراخيص</v>
      </c>
      <c r="D24" s="30">
        <f>'سجل المؤشرات'!$W$8</f>
        <v>20</v>
      </c>
      <c r="E24" s="30">
        <f>'سجل المؤشرات'!$P$8</f>
        <v>20</v>
      </c>
      <c r="F24" s="64">
        <f>'سجل المؤشرات'!$M$8</f>
        <v>0.06</v>
      </c>
      <c r="G24" s="18">
        <f>'سجل المؤشرات'!$Y$8</f>
        <v>1</v>
      </c>
      <c r="H24" s="19" t="str">
        <f>'سجل المؤشرات'!$Z$8</f>
        <v>متميز</v>
      </c>
    </row>
    <row r="25" spans="2:8" ht="19" customHeight="1" x14ac:dyDescent="0.3">
      <c r="B25" s="65" t="str">
        <f>'سجل المؤشرات'!$B$9</f>
        <v>نسبة الإشعار باستلام الشكوى ضمن الالتزام</v>
      </c>
      <c r="C25" s="65" t="str">
        <f>'سجل المؤشرات'!$G$9</f>
        <v>خدمة المستفيدين والتراخيص</v>
      </c>
      <c r="D25" s="28">
        <f>'سجل المؤشرات'!$W$9</f>
        <v>0.91669999999999996</v>
      </c>
      <c r="E25" s="28">
        <f>'سجل المؤشرات'!$P$9</f>
        <v>0.95</v>
      </c>
      <c r="F25" s="66">
        <f>'سجل المؤشرات'!$M$9</f>
        <v>0.05</v>
      </c>
      <c r="G25" s="28">
        <f>'سجل المؤشرات'!$Y$9</f>
        <v>0.96494736842105266</v>
      </c>
      <c r="H25" s="27" t="str">
        <f>'سجل المؤشرات'!$Z$9</f>
        <v>ضمن المستهدف</v>
      </c>
    </row>
    <row r="26" spans="2:8" ht="19" customHeight="1" x14ac:dyDescent="0.3">
      <c r="B26" s="63" t="str">
        <f>'سجل المؤشرات'!$B$10</f>
        <v>نسبة إغلاق الشكاوى ضمن الالتزام</v>
      </c>
      <c r="C26" s="63" t="str">
        <f>'سجل المؤشرات'!$G$10</f>
        <v>خدمة المستفيدين والتراخيص</v>
      </c>
      <c r="D26" s="18">
        <f>'سجل المؤشرات'!$W$10</f>
        <v>0.81820000000000004</v>
      </c>
      <c r="E26" s="18">
        <f>'سجل المؤشرات'!$P$10</f>
        <v>0.9</v>
      </c>
      <c r="F26" s="64">
        <f>'سجل المؤشرات'!$M$10</f>
        <v>0.08</v>
      </c>
      <c r="G26" s="18">
        <f>'سجل المؤشرات'!$Y$10</f>
        <v>0.90911111111111109</v>
      </c>
      <c r="H26" s="19" t="str">
        <f>'سجل المؤشرات'!$Z$10</f>
        <v>ضمن المستهدف</v>
      </c>
    </row>
    <row r="27" spans="2:8" ht="19" customHeight="1" x14ac:dyDescent="0.3">
      <c r="B27" s="65" t="str">
        <f>'سجل المؤشرات'!$B$11</f>
        <v>متوسط أيام إغلاق الشكوى</v>
      </c>
      <c r="C27" s="65" t="str">
        <f>'سجل المؤشرات'!$G$11</f>
        <v>خدمة المستفيدين والتراخيص</v>
      </c>
      <c r="D27" s="26">
        <f>'سجل المؤشرات'!$W$11</f>
        <v>7.6</v>
      </c>
      <c r="E27" s="26">
        <f>'سجل المؤشرات'!$P$11</f>
        <v>8</v>
      </c>
      <c r="F27" s="66">
        <f>'سجل المؤشرات'!$M$11</f>
        <v>0.04</v>
      </c>
      <c r="G27" s="28">
        <f>'سجل المؤشرات'!$Y$11</f>
        <v>1.0526315789473684</v>
      </c>
      <c r="H27" s="27" t="str">
        <f>'سجل المؤشرات'!$Z$11</f>
        <v>متميز</v>
      </c>
    </row>
    <row r="28" spans="2:8" ht="19" customHeight="1" x14ac:dyDescent="0.3">
      <c r="B28" s="63" t="str">
        <f>'سجل المؤشرات'!$B$12</f>
        <v>نسبة الشكاوى المصعّدة</v>
      </c>
      <c r="C28" s="63" t="str">
        <f>'سجل المؤشرات'!$G$12</f>
        <v>خدمة المستفيدين والتراخيص</v>
      </c>
      <c r="D28" s="18">
        <f>'سجل المؤشرات'!$W$12</f>
        <v>6.25E-2</v>
      </c>
      <c r="E28" s="18">
        <f>'سجل المؤشرات'!$P$12</f>
        <v>0.05</v>
      </c>
      <c r="F28" s="64">
        <f>'سجل المؤشرات'!$M$12</f>
        <v>0.03</v>
      </c>
      <c r="G28" s="18">
        <f>'سجل المؤشرات'!$Y$12</f>
        <v>0.8</v>
      </c>
      <c r="H28" s="19" t="str">
        <f>'سجل المؤشرات'!$Z$12</f>
        <v>يحتاج متابعة</v>
      </c>
    </row>
    <row r="29" spans="2:8" ht="19" customHeight="1" x14ac:dyDescent="0.3">
      <c r="B29" s="65" t="str">
        <f>'سجل المؤشرات'!$B$13</f>
        <v>متوسط رضا مقدمي الشكاوى عن المعالجة</v>
      </c>
      <c r="C29" s="65" t="str">
        <f>'سجل المؤشرات'!$G$13</f>
        <v>خدمة المستفيدين والتراخيص</v>
      </c>
      <c r="D29" s="33">
        <f>'سجل المؤشرات'!$W$13</f>
        <v>3.66</v>
      </c>
      <c r="E29" s="33">
        <f>'سجل المؤشرات'!$P$13</f>
        <v>3.5</v>
      </c>
      <c r="F29" s="66">
        <f>'سجل المؤشرات'!$M$13</f>
        <v>0.05</v>
      </c>
      <c r="G29" s="28">
        <f>'سجل المؤشرات'!$Y$13</f>
        <v>1.0457142857142858</v>
      </c>
      <c r="H29" s="27" t="str">
        <f>'سجل المؤشرات'!$Z$13</f>
        <v>متميز</v>
      </c>
    </row>
    <row r="30" spans="2:8" ht="19" customHeight="1" x14ac:dyDescent="0.3">
      <c r="B30" s="63" t="str">
        <f>'سجل المؤشرات'!$B$14</f>
        <v>مؤشر رضا المستفيد العام</v>
      </c>
      <c r="C30" s="63" t="str">
        <f>'سجل المؤشرات'!$G$14</f>
        <v>التحول الرقمي والأداء المؤسسي</v>
      </c>
      <c r="D30" s="18">
        <f>'سجل المؤشرات'!$W$14</f>
        <v>0.60560000000000003</v>
      </c>
      <c r="E30" s="18">
        <f>'سجل المؤشرات'!$P$14</f>
        <v>0.75</v>
      </c>
      <c r="F30" s="64">
        <f>'سجل المؤشرات'!$M$14</f>
        <v>0.14000000000000001</v>
      </c>
      <c r="G30" s="18">
        <f>'سجل المؤشرات'!$Y$14</f>
        <v>0.80746666666666667</v>
      </c>
      <c r="H30" s="19" t="str">
        <f>'سجل المؤشرات'!$Z$14</f>
        <v>يحتاج متابعة</v>
      </c>
    </row>
    <row r="31" spans="2:8" ht="19" customHeight="1" x14ac:dyDescent="0.3">
      <c r="B31" s="65" t="str">
        <f>'سجل المؤشرات'!$B$15</f>
        <v>متوسط فجوة التوقع والإدراك</v>
      </c>
      <c r="C31" s="65" t="str">
        <f>'سجل المؤشرات'!$G$15</f>
        <v>التحول الرقمي والأداء المؤسسي</v>
      </c>
      <c r="D31" s="33">
        <f>'سجل المؤشرات'!$W$15</f>
        <v>-0.52</v>
      </c>
      <c r="E31" s="33">
        <f>'سجل المؤشرات'!$P$15</f>
        <v>0</v>
      </c>
      <c r="F31" s="66">
        <f>'سجل المؤشرات'!$M$15</f>
        <v>0.08</v>
      </c>
      <c r="G31" s="28">
        <f>'سجل المؤشرات'!$Y$15</f>
        <v>0.52727272727272734</v>
      </c>
      <c r="H31" s="27" t="str">
        <f>'سجل المؤشرات'!$Z$15</f>
        <v>متعثر</v>
      </c>
    </row>
    <row r="32" spans="2:8" ht="19" customHeight="1" x14ac:dyDescent="0.3">
      <c r="B32" s="63" t="str">
        <f>'سجل المؤشرات'!$B$16</f>
        <v>صافي مؤشر الترشيح</v>
      </c>
      <c r="C32" s="63" t="str">
        <f>'سجل المؤشرات'!$G$16</f>
        <v>التحول الرقمي والأداء المؤسسي</v>
      </c>
      <c r="D32" s="35">
        <f>'سجل المؤشرات'!$W$16</f>
        <v>-20</v>
      </c>
      <c r="E32" s="35">
        <f>'سجل المؤشرات'!$P$16</f>
        <v>20</v>
      </c>
      <c r="F32" s="64">
        <f>'سجل المؤشرات'!$M$16</f>
        <v>0.08</v>
      </c>
      <c r="G32" s="18">
        <f>'سجل المؤشرات'!$Y$16</f>
        <v>0.38461538461538464</v>
      </c>
      <c r="H32" s="19" t="str">
        <f>'سجل المؤشرات'!$Z$16</f>
        <v>متعثر</v>
      </c>
    </row>
    <row r="33" spans="2:8" ht="19" customHeight="1" x14ac:dyDescent="0.3">
      <c r="B33" s="65" t="str">
        <f>'سجل المؤشرات'!$B$17</f>
        <v>متوسط مؤشر جهد المستفيد</v>
      </c>
      <c r="C33" s="65" t="str">
        <f>'سجل المؤشرات'!$G$17</f>
        <v>التحول الرقمي والأداء المؤسسي</v>
      </c>
      <c r="D33" s="33">
        <f>'سجل المؤشرات'!$W$17</f>
        <v>2.37</v>
      </c>
      <c r="E33" s="33">
        <f>'سجل المؤشرات'!$P$17</f>
        <v>2.5</v>
      </c>
      <c r="F33" s="66">
        <f>'سجل المؤشرات'!$M$17</f>
        <v>0.04</v>
      </c>
      <c r="G33" s="28">
        <f>'سجل المؤشرات'!$Y$17</f>
        <v>1.0548523206751055</v>
      </c>
      <c r="H33" s="27" t="str">
        <f>'سجل المؤشرات'!$Z$17</f>
        <v>متميز</v>
      </c>
    </row>
    <row r="34" spans="2:8" ht="19" customHeight="1" x14ac:dyDescent="0.3">
      <c r="B34" s="63" t="str">
        <f>'سجل المؤشرات'!$B$18</f>
        <v>نسبة الشكاوى المحدَّد سببها الجذري</v>
      </c>
      <c r="C34" s="63" t="str">
        <f>'سجل المؤشرات'!$G$18</f>
        <v>خدمة المستفيدين والتراخيص</v>
      </c>
      <c r="D34" s="18">
        <f>'سجل المؤشرات'!$W$18</f>
        <v>0.93179999999999996</v>
      </c>
      <c r="E34" s="18">
        <f>'سجل المؤشرات'!$P$18</f>
        <v>0.85</v>
      </c>
      <c r="F34" s="64">
        <f>'سجل المؤشرات'!$M$18</f>
        <v>0.05</v>
      </c>
      <c r="G34" s="18">
        <f>'سجل المؤشرات'!$Y$18</f>
        <v>1.096235294117647</v>
      </c>
      <c r="H34" s="19" t="str">
        <f>'سجل المؤشرات'!$Z$18</f>
        <v>متميز</v>
      </c>
    </row>
    <row r="35" spans="2:8" ht="19" customHeight="1" x14ac:dyDescent="0.3">
      <c r="B35" s="65" t="str">
        <f>'سجل المؤشرات'!$B$19</f>
        <v>نسبة فرص التحسين المنفذة</v>
      </c>
      <c r="C35" s="65" t="str">
        <f>'سجل المؤشرات'!$G$19</f>
        <v>الموارد البشرية والتطوير المؤسسي</v>
      </c>
      <c r="D35" s="28">
        <f>'سجل المؤشرات'!$W$19</f>
        <v>0.15379999999999999</v>
      </c>
      <c r="E35" s="28">
        <f>'سجل المؤشرات'!$P$19</f>
        <v>0.4</v>
      </c>
      <c r="F35" s="66">
        <f>'سجل المؤشرات'!$M$19</f>
        <v>0.06</v>
      </c>
      <c r="G35" s="28">
        <f>'سجل المؤشرات'!$Y$19</f>
        <v>0.38449999999999995</v>
      </c>
      <c r="H35" s="27" t="str">
        <f>'سجل المؤشرات'!$Z$19</f>
        <v>متعثر</v>
      </c>
    </row>
    <row r="36" spans="2:8" ht="19" customHeight="1" x14ac:dyDescent="0.3">
      <c r="B36" s="63" t="str">
        <f>'سجل المؤشرات'!$B$20</f>
        <v>نسبة الطلبات المقدَّمة عبر القنوات الرقمية</v>
      </c>
      <c r="C36" s="63" t="str">
        <f>'سجل المؤشرات'!$G$20</f>
        <v>التحول الرقمي والأداء المؤسسي</v>
      </c>
      <c r="D36" s="18">
        <f>'سجل المؤشرات'!$W$20</f>
        <v>0.67920000000000003</v>
      </c>
      <c r="E36" s="18">
        <f>'سجل المؤشرات'!$P$20</f>
        <v>0.8</v>
      </c>
      <c r="F36" s="64">
        <f>'سجل المؤشرات'!$M$20</f>
        <v>0.05</v>
      </c>
      <c r="G36" s="18">
        <f>'سجل المؤشرات'!$Y$20</f>
        <v>0.84899999999999998</v>
      </c>
      <c r="H36" s="19" t="str">
        <f>'سجل المؤشرات'!$Z$20</f>
        <v>يحتاج متابعة</v>
      </c>
    </row>
    <row r="37" spans="2:8" ht="19" customHeight="1" x14ac:dyDescent="0.3">
      <c r="B37" s="65" t="str">
        <f>'سجل المؤشرات'!$B$21</f>
        <v>نسبة الطلبات التي أعقبتها شكوى</v>
      </c>
      <c r="C37" s="65" t="str">
        <f>'سجل المؤشرات'!$G$21</f>
        <v>خدمة المستفيدين والتراخيص</v>
      </c>
      <c r="D37" s="28">
        <f>'سجل المؤشرات'!$W$21</f>
        <v>0.19170000000000001</v>
      </c>
      <c r="E37" s="28">
        <f>'سجل المؤشرات'!$P$21</f>
        <v>0.12</v>
      </c>
      <c r="F37" s="66">
        <f>'سجل المؤشرات'!$M$21</f>
        <v>0.03</v>
      </c>
      <c r="G37" s="28">
        <f>'سجل المؤشرات'!$Y$21</f>
        <v>0.62597809076682309</v>
      </c>
      <c r="H37" s="27" t="str">
        <f>'سجل المؤشرات'!$Z$21</f>
        <v>متعثر</v>
      </c>
    </row>
    <row r="38" spans="2:8" ht="17" customHeight="1" x14ac:dyDescent="0.3"/>
    <row r="39" spans="2:8" ht="17" customHeight="1" x14ac:dyDescent="0.3">
      <c r="B39" s="75" t="s">
        <v>290</v>
      </c>
      <c r="C39" s="68"/>
      <c r="D39" s="68"/>
      <c r="E39" s="68"/>
      <c r="F39" s="68"/>
      <c r="G39" s="68"/>
      <c r="H39" s="68"/>
    </row>
    <row r="40" spans="2:8" ht="17" customHeight="1" x14ac:dyDescent="0.3">
      <c r="B40" s="68"/>
      <c r="C40" s="68"/>
      <c r="D40" s="68"/>
      <c r="E40" s="68"/>
      <c r="F40" s="68"/>
      <c r="G40" s="68"/>
      <c r="H40" s="68"/>
    </row>
    <row r="41" spans="2:8" ht="17" customHeight="1" x14ac:dyDescent="0.3">
      <c r="B41" s="68"/>
      <c r="C41" s="68"/>
      <c r="D41" s="68"/>
      <c r="E41" s="68"/>
      <c r="F41" s="68"/>
      <c r="G41" s="68"/>
      <c r="H41" s="68"/>
    </row>
    <row r="42" spans="2:8" ht="17" customHeight="1" x14ac:dyDescent="0.3"/>
    <row r="43" spans="2:8" ht="17" customHeight="1" x14ac:dyDescent="0.3"/>
    <row r="44" spans="2:8" ht="17" customHeight="1" x14ac:dyDescent="0.3"/>
    <row r="45" spans="2:8" ht="17" customHeight="1" x14ac:dyDescent="0.3"/>
    <row r="46" spans="2:8" ht="17" customHeight="1" x14ac:dyDescent="0.3"/>
    <row r="47" spans="2:8" ht="17" customHeight="1" x14ac:dyDescent="0.3"/>
    <row r="48" spans="2:8" ht="17" customHeight="1" x14ac:dyDescent="0.3"/>
    <row r="49" ht="17" customHeight="1" x14ac:dyDescent="0.3"/>
    <row r="50" ht="17" customHeight="1" x14ac:dyDescent="0.3"/>
    <row r="51" ht="17" customHeight="1" x14ac:dyDescent="0.3"/>
    <row r="52" ht="17" customHeight="1" x14ac:dyDescent="0.3"/>
    <row r="53" ht="17" customHeight="1" x14ac:dyDescent="0.3"/>
    <row r="54" ht="17" customHeight="1" x14ac:dyDescent="0.3"/>
    <row r="55" ht="17" customHeight="1" x14ac:dyDescent="0.3"/>
    <row r="56" ht="17" customHeight="1" x14ac:dyDescent="0.3"/>
    <row r="57" ht="17" customHeight="1" x14ac:dyDescent="0.3"/>
    <row r="58" ht="17" customHeight="1" x14ac:dyDescent="0.3"/>
    <row r="59" ht="17" customHeight="1" x14ac:dyDescent="0.3"/>
    <row r="60" ht="17" customHeight="1" x14ac:dyDescent="0.3"/>
    <row r="61" ht="17" customHeight="1" x14ac:dyDescent="0.3"/>
    <row r="62" ht="17" customHeight="1" x14ac:dyDescent="0.3"/>
    <row r="63" ht="17" customHeight="1" x14ac:dyDescent="0.3"/>
    <row r="64" ht="17" customHeight="1" x14ac:dyDescent="0.3"/>
    <row r="65" ht="17" customHeight="1" x14ac:dyDescent="0.3"/>
    <row r="66" ht="17" customHeight="1" x14ac:dyDescent="0.3"/>
    <row r="67" ht="17" customHeight="1" x14ac:dyDescent="0.3"/>
    <row r="68" ht="17" customHeight="1" x14ac:dyDescent="0.3"/>
    <row r="69" ht="17" customHeight="1" x14ac:dyDescent="0.3"/>
    <row r="70" ht="17" customHeight="1" x14ac:dyDescent="0.3"/>
    <row r="71" ht="17" customHeight="1" x14ac:dyDescent="0.3"/>
    <row r="72" ht="17" customHeight="1" x14ac:dyDescent="0.3"/>
    <row r="73" ht="17" customHeight="1" x14ac:dyDescent="0.3"/>
    <row r="74" ht="17" customHeight="1" x14ac:dyDescent="0.3"/>
    <row r="75" ht="17" customHeight="1" x14ac:dyDescent="0.3"/>
    <row r="76" ht="17" customHeight="1" x14ac:dyDescent="0.3"/>
    <row r="77" ht="17" customHeight="1" x14ac:dyDescent="0.3"/>
    <row r="78" ht="17" customHeight="1" x14ac:dyDescent="0.3"/>
    <row r="79" ht="17" customHeight="1" x14ac:dyDescent="0.3"/>
    <row r="80" ht="17" customHeight="1" x14ac:dyDescent="0.3"/>
    <row r="81" ht="17" customHeight="1" x14ac:dyDescent="0.3"/>
    <row r="82" ht="17" customHeight="1" x14ac:dyDescent="0.3"/>
    <row r="83" ht="17" customHeight="1" x14ac:dyDescent="0.3"/>
    <row r="84" ht="17" customHeight="1" x14ac:dyDescent="0.3"/>
    <row r="85" ht="17" customHeight="1" x14ac:dyDescent="0.3"/>
    <row r="86" ht="17" customHeight="1" x14ac:dyDescent="0.3"/>
    <row r="87" ht="17" customHeight="1" x14ac:dyDescent="0.3"/>
    <row r="88" ht="17" customHeight="1" x14ac:dyDescent="0.3"/>
    <row r="89" ht="17" customHeight="1" x14ac:dyDescent="0.3"/>
  </sheetData>
  <sheetProtection algorithmName="SHA-512" hashValue="/TceB3X/2bi175pKXHkQjnZ+1+JHx1Cj2UvKoZTPQgxvsRlHQjWU+uzinaHvDahXY4ajRqRE3p1e0WlhNmp8uw==" saltValue="mNp2C6k3ZjBiN4n+uxiBFA==" spinCount="100000" sheet="1" objects="1" scenarios="1"/>
  <mergeCells count="14">
    <mergeCell ref="B39:H41"/>
    <mergeCell ref="B5:D6"/>
    <mergeCell ref="G10:H10"/>
    <mergeCell ref="B4:D4"/>
    <mergeCell ref="B12:H12"/>
    <mergeCell ref="A1:I1"/>
    <mergeCell ref="G5:H6"/>
    <mergeCell ref="E5:F6"/>
    <mergeCell ref="G9:H9"/>
    <mergeCell ref="B20:H20"/>
    <mergeCell ref="G4:H4"/>
    <mergeCell ref="E4:F4"/>
    <mergeCell ref="B8:H8"/>
    <mergeCell ref="A2:I2"/>
  </mergeCells>
  <conditionalFormatting sqref="E5">
    <cfRule type="cellIs" dxfId="11" priority="1" operator="equal">
      <formula>"متعثر"</formula>
    </cfRule>
    <cfRule type="cellIs" dxfId="10" priority="2" operator="equal">
      <formula>"يحتاج متابعة"</formula>
    </cfRule>
    <cfRule type="cellIs" dxfId="9" priority="3" operator="equal">
      <formula>"ضمن المستهدف"</formula>
    </cfRule>
    <cfRule type="cellIs" dxfId="8" priority="4" operator="equal">
      <formula>"متميز"</formula>
    </cfRule>
  </conditionalFormatting>
  <conditionalFormatting sqref="H14:H18">
    <cfRule type="cellIs" dxfId="7" priority="5" operator="equal">
      <formula>"متعثر"</formula>
    </cfRule>
    <cfRule type="cellIs" dxfId="6" priority="6" operator="equal">
      <formula>"يحتاج متابعة"</formula>
    </cfRule>
    <cfRule type="cellIs" dxfId="5" priority="7" operator="equal">
      <formula>"ضمن المستهدف"</formula>
    </cfRule>
    <cfRule type="cellIs" dxfId="4" priority="8" operator="equal">
      <formula>"متميز"</formula>
    </cfRule>
  </conditionalFormatting>
  <conditionalFormatting sqref="H22:H37">
    <cfRule type="cellIs" dxfId="3" priority="9" operator="equal">
      <formula>"متعثر"</formula>
    </cfRule>
    <cfRule type="cellIs" dxfId="2" priority="10" operator="equal">
      <formula>"يحتاج متابعة"</formula>
    </cfRule>
    <cfRule type="cellIs" dxfId="1" priority="11" operator="equal">
      <formula>"ضمن المستهدف"</formula>
    </cfRule>
    <cfRule type="cellIs" dxfId="0" priority="12" operator="equal">
      <formula>"متميز"</formula>
    </cfRule>
  </conditionalFormatting>
  <pageMargins left="0.75" right="0.75" top="1" bottom="1" header="0.5" footer="0.5"/>
  <pageSetup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الغلاف</vt:lpstr>
      <vt:lpstr>منهجية القياس</vt:lpstr>
      <vt:lpstr>سجل المؤشرات</vt:lpstr>
      <vt:lpstr>سجل القراءات</vt:lpstr>
      <vt:lpstr>بطاقة المؤشر</vt:lpstr>
      <vt:lpstr>لوحة المؤشرات</vt:lpstr>
      <vt:lpstr>'بطاقة المؤشر'!Print_Area</vt:lpstr>
      <vt:lpstr>'لوحة المؤشرات'!Print_Area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Yass4479 Baset</cp:lastModifiedBy>
  <dcterms:created xsi:type="dcterms:W3CDTF">2026-08-13T15:20:44Z</dcterms:created>
  <dcterms:modified xsi:type="dcterms:W3CDTF">2026-08-17T09:53:14Z</dcterms:modified>
</cp:coreProperties>
</file>