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D\#Connectra\01_Imtithal_Toolkits_امتثال\Service excellence — and CX - 23592-2021\11_التطبيق_والنضج_IM_Implementation\02_نماذج_وسجلات_Excel\"/>
    </mc:Choice>
  </mc:AlternateContent>
  <xr:revisionPtr revIDLastSave="0" documentId="13_ncr:1_{D6F3805C-7866-43AD-8230-162DA9507680}" xr6:coauthVersionLast="47" xr6:coauthVersionMax="47" xr10:uidLastSave="{00000000-0000-0000-0000-000000000000}"/>
  <bookViews>
    <workbookView xWindow="-110" yWindow="-110" windowWidth="25820" windowHeight="15500" activeTab="4" xr2:uid="{00000000-000D-0000-FFFF-FFFF00000000}"/>
  </bookViews>
  <sheets>
    <sheet name="الغلاف" sheetId="1" r:id="rId1"/>
    <sheet name="دليل الاستخدام" sheetId="2" r:id="rId2"/>
    <sheet name="القوائم" sheetId="3" r:id="rId3"/>
    <sheet name="تحليل الفجوة" sheetId="4" r:id="rId4"/>
    <sheet name="التخطيط والتنفيذ" sheetId="5" r:id="rId5"/>
    <sheet name="سجل الأدلة" sheetId="6" r:id="rId6"/>
    <sheet name="لوحة البيانات" sheetId="7" r:id="rId7"/>
  </sheets>
  <definedNames>
    <definedName name="_xlnm._FilterDatabase" localSheetId="4" hidden="1">'التخطيط والتنفيذ'!$A$3:$V$164</definedName>
    <definedName name="_xlnm._FilterDatabase" localSheetId="3" hidden="1">'تحليل الفجوة'!$A$3:$T$164</definedName>
    <definedName name="_xlnm.Print_Titles" localSheetId="4">'التخطيط والتنفيذ'!$1:$3</definedName>
    <definedName name="_xlnm.Print_Titles" localSheetId="3">'تحليل الفجوة'!$1:$3</definedName>
    <definedName name="_xlnm.Print_Titles" localSheetId="5">'سجل الأدلة'!$1:$3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4" i="7" l="1"/>
  <c r="D44" i="7"/>
  <c r="C44" i="7"/>
  <c r="F43" i="7"/>
  <c r="D43" i="7"/>
  <c r="C43" i="7"/>
  <c r="F42" i="7"/>
  <c r="D42" i="7"/>
  <c r="C42" i="7"/>
  <c r="F41" i="7"/>
  <c r="D41" i="7"/>
  <c r="C41" i="7"/>
  <c r="F40" i="7"/>
  <c r="D40" i="7"/>
  <c r="C40" i="7"/>
  <c r="F39" i="7"/>
  <c r="D39" i="7"/>
  <c r="C39" i="7"/>
  <c r="F38" i="7"/>
  <c r="D38" i="7"/>
  <c r="C38" i="7"/>
  <c r="F37" i="7"/>
  <c r="D37" i="7"/>
  <c r="C37" i="7"/>
  <c r="F36" i="7"/>
  <c r="D36" i="7"/>
  <c r="C36" i="7"/>
  <c r="D25" i="7"/>
  <c r="C25" i="7"/>
  <c r="D24" i="7"/>
  <c r="C24" i="7"/>
  <c r="D23" i="7"/>
  <c r="C23" i="7"/>
  <c r="D22" i="7"/>
  <c r="C22" i="7"/>
  <c r="D21" i="7"/>
  <c r="C21" i="7"/>
  <c r="D20" i="7"/>
  <c r="C20" i="7"/>
  <c r="J16" i="7"/>
  <c r="I16" i="7"/>
  <c r="H16" i="7"/>
  <c r="G16" i="7"/>
  <c r="F16" i="7"/>
  <c r="E16" i="7"/>
  <c r="D16" i="7"/>
  <c r="C16" i="7"/>
  <c r="J15" i="7"/>
  <c r="I15" i="7"/>
  <c r="H15" i="7"/>
  <c r="G15" i="7"/>
  <c r="F15" i="7"/>
  <c r="E15" i="7"/>
  <c r="D15" i="7"/>
  <c r="C15" i="7"/>
  <c r="J14" i="7"/>
  <c r="I14" i="7"/>
  <c r="H14" i="7"/>
  <c r="G14" i="7"/>
  <c r="F14" i="7"/>
  <c r="E14" i="7"/>
  <c r="D14" i="7"/>
  <c r="C14" i="7"/>
  <c r="J13" i="7"/>
  <c r="I13" i="7"/>
  <c r="H13" i="7"/>
  <c r="G13" i="7"/>
  <c r="F13" i="7"/>
  <c r="E13" i="7"/>
  <c r="D13" i="7"/>
  <c r="C13" i="7"/>
  <c r="H6" i="7"/>
  <c r="F6" i="7"/>
  <c r="D6" i="7"/>
  <c r="B6" i="7"/>
  <c r="E27" i="6"/>
  <c r="E26" i="6"/>
  <c r="E25" i="6"/>
  <c r="E24" i="6"/>
  <c r="E23" i="6"/>
  <c r="E22" i="6"/>
  <c r="E21" i="6"/>
  <c r="E20" i="6"/>
  <c r="E19" i="6"/>
  <c r="E18" i="6"/>
  <c r="E17" i="6"/>
  <c r="E16" i="6"/>
  <c r="E15" i="6"/>
  <c r="E14" i="6"/>
  <c r="E13" i="6"/>
  <c r="E12" i="6"/>
  <c r="E11" i="6"/>
  <c r="E10" i="6"/>
  <c r="E9" i="6"/>
  <c r="E8" i="6"/>
  <c r="E7" i="6"/>
  <c r="E6" i="6"/>
  <c r="E5" i="6"/>
  <c r="E4" i="6"/>
  <c r="B164" i="5"/>
  <c r="A164" i="5"/>
  <c r="B163" i="5"/>
  <c r="A163" i="5"/>
  <c r="B162" i="5"/>
  <c r="A162" i="5"/>
  <c r="B161" i="5"/>
  <c r="A161" i="5"/>
  <c r="B160" i="5"/>
  <c r="A160" i="5"/>
  <c r="U164" i="4"/>
  <c r="R164" i="4"/>
  <c r="K164" i="4"/>
  <c r="U163" i="4"/>
  <c r="R163" i="4"/>
  <c r="K163" i="4"/>
  <c r="U162" i="4"/>
  <c r="R162" i="4"/>
  <c r="K162" i="4"/>
  <c r="U161" i="4"/>
  <c r="R161" i="4"/>
  <c r="K161" i="4"/>
  <c r="U160" i="4"/>
  <c r="R160" i="4"/>
  <c r="K160" i="4"/>
  <c r="U159" i="4"/>
  <c r="R159" i="4"/>
  <c r="K159" i="4"/>
  <c r="U158" i="4"/>
  <c r="R158" i="4"/>
  <c r="K158" i="4"/>
  <c r="U157" i="4"/>
  <c r="R157" i="4"/>
  <c r="K157" i="4"/>
  <c r="U156" i="4"/>
  <c r="R156" i="4"/>
  <c r="K156" i="4"/>
  <c r="U155" i="4"/>
  <c r="R155" i="4"/>
  <c r="K155" i="4"/>
  <c r="U154" i="4"/>
  <c r="R154" i="4"/>
  <c r="K154" i="4"/>
  <c r="U153" i="4"/>
  <c r="R153" i="4"/>
  <c r="K153" i="4"/>
  <c r="U152" i="4"/>
  <c r="R152" i="4"/>
  <c r="K152" i="4"/>
  <c r="U151" i="4"/>
  <c r="R151" i="4"/>
  <c r="K151" i="4"/>
  <c r="U150" i="4"/>
  <c r="R150" i="4"/>
  <c r="K150" i="4"/>
  <c r="U149" i="4"/>
  <c r="R149" i="4"/>
  <c r="K149" i="4"/>
  <c r="U148" i="4"/>
  <c r="R148" i="4"/>
  <c r="K148" i="4"/>
  <c r="U147" i="4"/>
  <c r="R147" i="4"/>
  <c r="K147" i="4"/>
  <c r="U146" i="4"/>
  <c r="R146" i="4"/>
  <c r="K146" i="4"/>
  <c r="U145" i="4"/>
  <c r="R145" i="4"/>
  <c r="K145" i="4"/>
  <c r="U144" i="4"/>
  <c r="R144" i="4"/>
  <c r="K144" i="4"/>
  <c r="U143" i="4"/>
  <c r="R143" i="4"/>
  <c r="K143" i="4"/>
  <c r="U142" i="4"/>
  <c r="R142" i="4"/>
  <c r="K142" i="4"/>
  <c r="U141" i="4"/>
  <c r="R141" i="4"/>
  <c r="K141" i="4"/>
  <c r="U140" i="4"/>
  <c r="R140" i="4"/>
  <c r="K140" i="4"/>
  <c r="U139" i="4"/>
  <c r="R139" i="4"/>
  <c r="K139" i="4"/>
  <c r="U138" i="4"/>
  <c r="R138" i="4"/>
  <c r="K138" i="4"/>
  <c r="U137" i="4"/>
  <c r="R137" i="4"/>
  <c r="K137" i="4"/>
  <c r="U136" i="4"/>
  <c r="R136" i="4"/>
  <c r="K136" i="4"/>
  <c r="U135" i="4"/>
  <c r="R135" i="4"/>
  <c r="K135" i="4"/>
  <c r="U134" i="4"/>
  <c r="R134" i="4"/>
  <c r="K134" i="4"/>
  <c r="U133" i="4"/>
  <c r="R133" i="4"/>
  <c r="K133" i="4"/>
  <c r="U132" i="4"/>
  <c r="R132" i="4"/>
  <c r="K132" i="4"/>
  <c r="U131" i="4"/>
  <c r="R131" i="4"/>
  <c r="K131" i="4"/>
  <c r="U130" i="4"/>
  <c r="R130" i="4"/>
  <c r="K130" i="4"/>
  <c r="U129" i="4"/>
  <c r="R129" i="4"/>
  <c r="K129" i="4"/>
  <c r="U128" i="4"/>
  <c r="R128" i="4"/>
  <c r="K128" i="4"/>
  <c r="U127" i="4"/>
  <c r="R127" i="4"/>
  <c r="K127" i="4"/>
  <c r="U126" i="4"/>
  <c r="R126" i="4"/>
  <c r="K126" i="4"/>
  <c r="U125" i="4"/>
  <c r="R125" i="4"/>
  <c r="K125" i="4"/>
  <c r="U124" i="4"/>
  <c r="R124" i="4"/>
  <c r="K124" i="4"/>
  <c r="U123" i="4"/>
  <c r="R123" i="4"/>
  <c r="K123" i="4"/>
  <c r="U122" i="4"/>
  <c r="R122" i="4"/>
  <c r="K122" i="4"/>
  <c r="U121" i="4"/>
  <c r="R121" i="4"/>
  <c r="K121" i="4"/>
  <c r="U120" i="4"/>
  <c r="R120" i="4"/>
  <c r="K120" i="4"/>
  <c r="U119" i="4"/>
  <c r="R119" i="4"/>
  <c r="K119" i="4"/>
  <c r="U118" i="4"/>
  <c r="R118" i="4"/>
  <c r="K118" i="4"/>
  <c r="U117" i="4"/>
  <c r="R117" i="4"/>
  <c r="K117" i="4"/>
  <c r="U116" i="4"/>
  <c r="R116" i="4"/>
  <c r="K116" i="4"/>
  <c r="U115" i="4"/>
  <c r="R115" i="4"/>
  <c r="K115" i="4"/>
  <c r="U114" i="4"/>
  <c r="R114" i="4"/>
  <c r="K114" i="4"/>
  <c r="U113" i="4"/>
  <c r="R113" i="4"/>
  <c r="K113" i="4"/>
  <c r="U112" i="4"/>
  <c r="R112" i="4"/>
  <c r="K112" i="4"/>
  <c r="U111" i="4"/>
  <c r="R111" i="4"/>
  <c r="K111" i="4"/>
  <c r="U110" i="4"/>
  <c r="R110" i="4"/>
  <c r="K110" i="4"/>
  <c r="U109" i="4"/>
  <c r="R109" i="4"/>
  <c r="K109" i="4"/>
  <c r="U108" i="4"/>
  <c r="R108" i="4"/>
  <c r="K108" i="4"/>
  <c r="U107" i="4"/>
  <c r="R107" i="4"/>
  <c r="K107" i="4"/>
  <c r="U106" i="4"/>
  <c r="R106" i="4"/>
  <c r="K106" i="4"/>
  <c r="U105" i="4"/>
  <c r="R105" i="4"/>
  <c r="K105" i="4"/>
  <c r="U104" i="4"/>
  <c r="R104" i="4"/>
  <c r="K104" i="4"/>
  <c r="U103" i="4"/>
  <c r="R103" i="4"/>
  <c r="K103" i="4"/>
  <c r="U102" i="4"/>
  <c r="R102" i="4"/>
  <c r="K102" i="4"/>
  <c r="U101" i="4"/>
  <c r="R101" i="4"/>
  <c r="K101" i="4"/>
  <c r="U100" i="4"/>
  <c r="R100" i="4"/>
  <c r="K100" i="4"/>
  <c r="U99" i="4"/>
  <c r="R99" i="4"/>
  <c r="K99" i="4"/>
  <c r="U98" i="4"/>
  <c r="R98" i="4"/>
  <c r="K98" i="4"/>
  <c r="U97" i="4"/>
  <c r="R97" i="4"/>
  <c r="K97" i="4"/>
  <c r="U96" i="4"/>
  <c r="R96" i="4"/>
  <c r="K96" i="4"/>
  <c r="U95" i="4"/>
  <c r="R95" i="4"/>
  <c r="K95" i="4"/>
  <c r="U94" i="4"/>
  <c r="R94" i="4"/>
  <c r="K94" i="4"/>
  <c r="U93" i="4"/>
  <c r="R93" i="4"/>
  <c r="K93" i="4"/>
  <c r="U92" i="4"/>
  <c r="R92" i="4"/>
  <c r="K92" i="4"/>
  <c r="U91" i="4"/>
  <c r="R91" i="4"/>
  <c r="K91" i="4"/>
  <c r="U90" i="4"/>
  <c r="R90" i="4"/>
  <c r="K90" i="4"/>
  <c r="U89" i="4"/>
  <c r="R89" i="4"/>
  <c r="K89" i="4"/>
  <c r="U88" i="4"/>
  <c r="R88" i="4"/>
  <c r="K88" i="4"/>
  <c r="U87" i="4"/>
  <c r="R87" i="4"/>
  <c r="K87" i="4"/>
  <c r="U86" i="4"/>
  <c r="R86" i="4"/>
  <c r="K86" i="4"/>
  <c r="U85" i="4"/>
  <c r="R85" i="4"/>
  <c r="K85" i="4"/>
  <c r="U84" i="4"/>
  <c r="R84" i="4"/>
  <c r="K84" i="4"/>
  <c r="U83" i="4"/>
  <c r="R83" i="4"/>
  <c r="K83" i="4"/>
  <c r="U82" i="4"/>
  <c r="R82" i="4"/>
  <c r="K82" i="4"/>
  <c r="U81" i="4"/>
  <c r="R81" i="4"/>
  <c r="K81" i="4"/>
  <c r="U80" i="4"/>
  <c r="R80" i="4"/>
  <c r="K80" i="4"/>
  <c r="U79" i="4"/>
  <c r="R79" i="4"/>
  <c r="K79" i="4"/>
  <c r="U78" i="4"/>
  <c r="R78" i="4"/>
  <c r="K78" i="4"/>
  <c r="U77" i="4"/>
  <c r="R77" i="4"/>
  <c r="K77" i="4"/>
  <c r="U76" i="4"/>
  <c r="R76" i="4"/>
  <c r="K76" i="4"/>
  <c r="U75" i="4"/>
  <c r="R75" i="4"/>
  <c r="K75" i="4"/>
  <c r="U74" i="4"/>
  <c r="R74" i="4"/>
  <c r="K74" i="4"/>
  <c r="U73" i="4"/>
  <c r="R73" i="4"/>
  <c r="K73" i="4"/>
  <c r="U72" i="4"/>
  <c r="R72" i="4"/>
  <c r="K72" i="4"/>
  <c r="U71" i="4"/>
  <c r="R71" i="4"/>
  <c r="K71" i="4"/>
  <c r="U70" i="4"/>
  <c r="R70" i="4"/>
  <c r="K70" i="4"/>
  <c r="U69" i="4"/>
  <c r="R69" i="4"/>
  <c r="K69" i="4"/>
  <c r="U68" i="4"/>
  <c r="R68" i="4"/>
  <c r="K68" i="4"/>
  <c r="U67" i="4"/>
  <c r="R67" i="4"/>
  <c r="K67" i="4"/>
  <c r="U66" i="4"/>
  <c r="R66" i="4"/>
  <c r="K66" i="4"/>
  <c r="U65" i="4"/>
  <c r="R65" i="4"/>
  <c r="K65" i="4"/>
  <c r="U64" i="4"/>
  <c r="R64" i="4"/>
  <c r="K64" i="4"/>
  <c r="U63" i="4"/>
  <c r="R63" i="4"/>
  <c r="K63" i="4"/>
  <c r="U62" i="4"/>
  <c r="R62" i="4"/>
  <c r="K62" i="4"/>
  <c r="U61" i="4"/>
  <c r="R61" i="4"/>
  <c r="K61" i="4"/>
  <c r="U60" i="4"/>
  <c r="R60" i="4"/>
  <c r="K60" i="4"/>
  <c r="U59" i="4"/>
  <c r="R59" i="4"/>
  <c r="K59" i="4"/>
  <c r="U58" i="4"/>
  <c r="R58" i="4"/>
  <c r="K58" i="4"/>
  <c r="U57" i="4"/>
  <c r="R57" i="4"/>
  <c r="K57" i="4"/>
  <c r="U56" i="4"/>
  <c r="R56" i="4"/>
  <c r="K56" i="4"/>
  <c r="U55" i="4"/>
  <c r="R55" i="4"/>
  <c r="K55" i="4"/>
  <c r="U54" i="4"/>
  <c r="R54" i="4"/>
  <c r="K54" i="4"/>
  <c r="U53" i="4"/>
  <c r="R53" i="4"/>
  <c r="K53" i="4"/>
  <c r="U52" i="4"/>
  <c r="R52" i="4"/>
  <c r="K52" i="4"/>
  <c r="U51" i="4"/>
  <c r="T51" i="4"/>
  <c r="S51" i="4"/>
  <c r="R51" i="4"/>
  <c r="K51" i="4"/>
  <c r="U50" i="4"/>
  <c r="R50" i="4"/>
  <c r="K50" i="4"/>
  <c r="U49" i="4"/>
  <c r="R49" i="4"/>
  <c r="K49" i="4"/>
  <c r="U48" i="4"/>
  <c r="R48" i="4"/>
  <c r="K48" i="4"/>
  <c r="U47" i="4"/>
  <c r="R47" i="4"/>
  <c r="K47" i="4"/>
  <c r="U46" i="4"/>
  <c r="R46" i="4"/>
  <c r="K46" i="4"/>
  <c r="U45" i="4"/>
  <c r="R45" i="4"/>
  <c r="K45" i="4"/>
  <c r="U44" i="4"/>
  <c r="R44" i="4"/>
  <c r="K44" i="4"/>
  <c r="U43" i="4"/>
  <c r="R43" i="4"/>
  <c r="K43" i="4"/>
  <c r="U42" i="4"/>
  <c r="R42" i="4"/>
  <c r="K42" i="4"/>
  <c r="U41" i="4"/>
  <c r="R41" i="4"/>
  <c r="K41" i="4"/>
  <c r="U40" i="4"/>
  <c r="R40" i="4"/>
  <c r="K40" i="4"/>
  <c r="U39" i="4"/>
  <c r="R39" i="4"/>
  <c r="K39" i="4"/>
  <c r="U38" i="4"/>
  <c r="R38" i="4"/>
  <c r="K38" i="4"/>
  <c r="U37" i="4"/>
  <c r="R37" i="4"/>
  <c r="K37" i="4"/>
  <c r="U36" i="4"/>
  <c r="R36" i="4"/>
  <c r="K36" i="4"/>
  <c r="U35" i="4"/>
  <c r="R35" i="4"/>
  <c r="K35" i="4"/>
  <c r="U34" i="4"/>
  <c r="R34" i="4"/>
  <c r="K34" i="4"/>
  <c r="U33" i="4"/>
  <c r="R33" i="4"/>
  <c r="K33" i="4"/>
  <c r="U32" i="4"/>
  <c r="R32" i="4"/>
  <c r="K32" i="4"/>
  <c r="U31" i="4"/>
  <c r="R31" i="4"/>
  <c r="K31" i="4"/>
  <c r="U30" i="4"/>
  <c r="R30" i="4"/>
  <c r="K30" i="4"/>
  <c r="U29" i="4"/>
  <c r="R29" i="4"/>
  <c r="K29" i="4"/>
  <c r="U28" i="4"/>
  <c r="R28" i="4"/>
  <c r="K28" i="4"/>
  <c r="U27" i="4"/>
  <c r="R27" i="4"/>
  <c r="K27" i="4"/>
  <c r="U26" i="4"/>
  <c r="R26" i="4"/>
  <c r="K26" i="4"/>
  <c r="U25" i="4"/>
  <c r="R25" i="4"/>
  <c r="K25" i="4"/>
  <c r="U24" i="4"/>
  <c r="R24" i="4"/>
  <c r="K24" i="4"/>
  <c r="U23" i="4"/>
  <c r="R23" i="4"/>
  <c r="K23" i="4"/>
  <c r="U22" i="4"/>
  <c r="R22" i="4"/>
  <c r="K22" i="4"/>
  <c r="U21" i="4"/>
  <c r="R21" i="4"/>
  <c r="K21" i="4"/>
  <c r="U20" i="4"/>
  <c r="R20" i="4"/>
  <c r="K20" i="4"/>
  <c r="U19" i="4"/>
  <c r="R19" i="4"/>
  <c r="K19" i="4"/>
  <c r="U18" i="4"/>
  <c r="R18" i="4"/>
  <c r="K18" i="4"/>
  <c r="U17" i="4"/>
  <c r="R17" i="4"/>
  <c r="K17" i="4"/>
  <c r="U16" i="4"/>
  <c r="R16" i="4"/>
  <c r="K16" i="4"/>
  <c r="U15" i="4"/>
  <c r="R15" i="4"/>
  <c r="K15" i="4"/>
  <c r="U14" i="4"/>
  <c r="R14" i="4"/>
  <c r="K14" i="4"/>
  <c r="U13" i="4"/>
  <c r="R13" i="4"/>
  <c r="K13" i="4"/>
  <c r="U12" i="4"/>
  <c r="R12" i="4"/>
  <c r="K12" i="4"/>
  <c r="U11" i="4"/>
  <c r="R11" i="4"/>
  <c r="K11" i="4"/>
  <c r="U10" i="4"/>
  <c r="R10" i="4"/>
  <c r="K10" i="4"/>
  <c r="U9" i="4"/>
  <c r="R9" i="4"/>
  <c r="K9" i="4"/>
  <c r="U8" i="4"/>
  <c r="R8" i="4"/>
  <c r="K8" i="4"/>
  <c r="U7" i="4"/>
  <c r="R7" i="4"/>
  <c r="K7" i="4"/>
  <c r="U6" i="4"/>
  <c r="R6" i="4"/>
  <c r="K6" i="4"/>
  <c r="U5" i="4"/>
  <c r="R5" i="4"/>
  <c r="K5" i="4"/>
  <c r="U4" i="4"/>
  <c r="R4" i="4"/>
  <c r="K4" i="4"/>
  <c r="D164" i="5" l="1"/>
  <c r="E164" i="5"/>
  <c r="V164" i="5"/>
  <c r="G164" i="5"/>
  <c r="H164" i="5"/>
  <c r="C164" i="5"/>
  <c r="K164" i="5"/>
  <c r="J164" i="5"/>
  <c r="J163" i="5"/>
  <c r="G163" i="5"/>
  <c r="E163" i="5"/>
  <c r="I163" i="5"/>
  <c r="H163" i="5"/>
  <c r="D163" i="5"/>
  <c r="C163" i="5"/>
  <c r="F163" i="5"/>
  <c r="K163" i="5"/>
  <c r="V163" i="5"/>
  <c r="K162" i="5"/>
  <c r="G162" i="5"/>
  <c r="V162" i="5"/>
  <c r="D162" i="5"/>
  <c r="E162" i="5"/>
  <c r="H162" i="5"/>
  <c r="J162" i="5"/>
  <c r="C162" i="5"/>
  <c r="V161" i="5"/>
  <c r="E161" i="5"/>
  <c r="F161" i="5"/>
  <c r="H161" i="5"/>
  <c r="I161" i="5"/>
  <c r="D161" i="5"/>
  <c r="K161" i="5"/>
  <c r="J161" i="5"/>
  <c r="C161" i="5"/>
  <c r="G161" i="5"/>
  <c r="V160" i="5"/>
  <c r="C160" i="5"/>
  <c r="G160" i="5"/>
  <c r="J160" i="5"/>
  <c r="E160" i="5"/>
  <c r="K160" i="5"/>
  <c r="D160" i="5"/>
  <c r="H160" i="5"/>
  <c r="T164" i="4"/>
  <c r="S164" i="4"/>
  <c r="F164" i="5" s="1"/>
  <c r="T163" i="4"/>
  <c r="V163" i="4" s="1"/>
  <c r="S163" i="4"/>
  <c r="T162" i="4"/>
  <c r="S162" i="4"/>
  <c r="F162" i="5" s="1"/>
  <c r="S161" i="4"/>
  <c r="T161" i="4"/>
  <c r="V161" i="4" s="1"/>
  <c r="T160" i="4"/>
  <c r="S160" i="4"/>
  <c r="F160" i="5" s="1"/>
  <c r="A159" i="5"/>
  <c r="S159" i="4"/>
  <c r="T159" i="4"/>
  <c r="V159" i="4" s="1"/>
  <c r="B159" i="5"/>
  <c r="S158" i="4"/>
  <c r="T158" i="4"/>
  <c r="V158" i="4" s="1"/>
  <c r="A158" i="5"/>
  <c r="B158" i="5"/>
  <c r="T157" i="4"/>
  <c r="V157" i="4" s="1"/>
  <c r="A157" i="5"/>
  <c r="B157" i="5"/>
  <c r="S157" i="4"/>
  <c r="B156" i="5"/>
  <c r="A156" i="5"/>
  <c r="T156" i="4"/>
  <c r="S156" i="4"/>
  <c r="B155" i="5"/>
  <c r="A155" i="5"/>
  <c r="T155" i="4"/>
  <c r="V155" i="4" s="1"/>
  <c r="S155" i="4"/>
  <c r="B154" i="5"/>
  <c r="A154" i="5"/>
  <c r="T154" i="4"/>
  <c r="V154" i="4" s="1"/>
  <c r="S154" i="4"/>
  <c r="B153" i="5"/>
  <c r="A153" i="5"/>
  <c r="T153" i="4"/>
  <c r="V153" i="4" s="1"/>
  <c r="S153" i="4"/>
  <c r="B152" i="5"/>
  <c r="A152" i="5"/>
  <c r="S152" i="4"/>
  <c r="T152" i="4"/>
  <c r="V152" i="4" s="1"/>
  <c r="B151" i="5"/>
  <c r="T151" i="4"/>
  <c r="V151" i="4" s="1"/>
  <c r="S151" i="4"/>
  <c r="A151" i="5"/>
  <c r="B150" i="5"/>
  <c r="A150" i="5"/>
  <c r="T150" i="4"/>
  <c r="V150" i="4" s="1"/>
  <c r="S150" i="4"/>
  <c r="B149" i="5"/>
  <c r="A149" i="5"/>
  <c r="T149" i="4"/>
  <c r="V149" i="4" s="1"/>
  <c r="S149" i="4"/>
  <c r="B148" i="5"/>
  <c r="A148" i="5"/>
  <c r="T148" i="4"/>
  <c r="V148" i="4" s="1"/>
  <c r="S148" i="4"/>
  <c r="B147" i="5"/>
  <c r="T147" i="4"/>
  <c r="V147" i="4" s="1"/>
  <c r="S147" i="4"/>
  <c r="A147" i="5"/>
  <c r="B146" i="5"/>
  <c r="A146" i="5"/>
  <c r="T146" i="4"/>
  <c r="V146" i="4" s="1"/>
  <c r="S146" i="4"/>
  <c r="B145" i="5"/>
  <c r="A145" i="5"/>
  <c r="T145" i="4"/>
  <c r="V145" i="4" s="1"/>
  <c r="S145" i="4"/>
  <c r="B144" i="5"/>
  <c r="A144" i="5"/>
  <c r="T144" i="4"/>
  <c r="S144" i="4"/>
  <c r="B143" i="5"/>
  <c r="A143" i="5"/>
  <c r="T143" i="4"/>
  <c r="V143" i="4" s="1"/>
  <c r="S143" i="4"/>
  <c r="B142" i="5"/>
  <c r="A142" i="5"/>
  <c r="S142" i="4"/>
  <c r="T142" i="4"/>
  <c r="B141" i="5"/>
  <c r="A141" i="5"/>
  <c r="S141" i="4"/>
  <c r="T141" i="4"/>
  <c r="V141" i="4" s="1"/>
  <c r="B140" i="5"/>
  <c r="T140" i="4"/>
  <c r="V140" i="4" s="1"/>
  <c r="S140" i="4"/>
  <c r="A140" i="5"/>
  <c r="S139" i="4"/>
  <c r="T139" i="4"/>
  <c r="V139" i="4" s="1"/>
  <c r="A139" i="5"/>
  <c r="B139" i="5"/>
  <c r="T138" i="4"/>
  <c r="V138" i="4" s="1"/>
  <c r="S138" i="4"/>
  <c r="A138" i="5"/>
  <c r="B138" i="5"/>
  <c r="S137" i="4"/>
  <c r="A137" i="5"/>
  <c r="T137" i="4"/>
  <c r="V137" i="4" s="1"/>
  <c r="B137" i="5"/>
  <c r="S136" i="4"/>
  <c r="B136" i="5"/>
  <c r="T136" i="4"/>
  <c r="V136" i="4" s="1"/>
  <c r="A136" i="5"/>
  <c r="S135" i="4"/>
  <c r="T135" i="4"/>
  <c r="V135" i="4" s="1"/>
  <c r="B135" i="5"/>
  <c r="A135" i="5"/>
  <c r="S134" i="4"/>
  <c r="A134" i="5"/>
  <c r="B134" i="5"/>
  <c r="T134" i="4"/>
  <c r="V134" i="4" s="1"/>
  <c r="T133" i="4"/>
  <c r="V133" i="4" s="1"/>
  <c r="S133" i="4"/>
  <c r="B133" i="5"/>
  <c r="A133" i="5"/>
  <c r="S132" i="4"/>
  <c r="A132" i="5"/>
  <c r="T132" i="4"/>
  <c r="B132" i="5"/>
  <c r="A131" i="5"/>
  <c r="T131" i="4"/>
  <c r="V131" i="4" s="1"/>
  <c r="B131" i="5"/>
  <c r="S131" i="4"/>
  <c r="S130" i="4"/>
  <c r="B130" i="5"/>
  <c r="A130" i="5"/>
  <c r="T130" i="4"/>
  <c r="V130" i="4" s="1"/>
  <c r="B129" i="5"/>
  <c r="S129" i="4"/>
  <c r="A129" i="5"/>
  <c r="T129" i="4"/>
  <c r="V129" i="4" s="1"/>
  <c r="S128" i="4"/>
  <c r="A128" i="5"/>
  <c r="T128" i="4"/>
  <c r="V128" i="4" s="1"/>
  <c r="B128" i="5"/>
  <c r="B127" i="5"/>
  <c r="S127" i="4"/>
  <c r="A127" i="5"/>
  <c r="T127" i="4"/>
  <c r="V127" i="4" s="1"/>
  <c r="B126" i="5"/>
  <c r="T126" i="4"/>
  <c r="V126" i="4" s="1"/>
  <c r="A126" i="5"/>
  <c r="S126" i="4"/>
  <c r="S125" i="4"/>
  <c r="T125" i="4"/>
  <c r="V125" i="4" s="1"/>
  <c r="B125" i="5"/>
  <c r="A125" i="5"/>
  <c r="B124" i="5"/>
  <c r="S124" i="4"/>
  <c r="A124" i="5"/>
  <c r="T124" i="4"/>
  <c r="V124" i="4" s="1"/>
  <c r="B123" i="5"/>
  <c r="A123" i="5"/>
  <c r="T123" i="4"/>
  <c r="V123" i="4" s="1"/>
  <c r="S123" i="4"/>
  <c r="T122" i="4"/>
  <c r="V122" i="4" s="1"/>
  <c r="S122" i="4"/>
  <c r="B122" i="5"/>
  <c r="A122" i="5"/>
  <c r="S121" i="4"/>
  <c r="B121" i="5"/>
  <c r="T121" i="4"/>
  <c r="A121" i="5"/>
  <c r="S120" i="4"/>
  <c r="A120" i="5"/>
  <c r="B120" i="5"/>
  <c r="T120" i="4"/>
  <c r="V120" i="4" s="1"/>
  <c r="T119" i="4"/>
  <c r="V119" i="4" s="1"/>
  <c r="S119" i="4"/>
  <c r="B119" i="5"/>
  <c r="A119" i="5"/>
  <c r="T118" i="4"/>
  <c r="V118" i="4" s="1"/>
  <c r="S118" i="4"/>
  <c r="B118" i="5"/>
  <c r="A118" i="5"/>
  <c r="A117" i="5"/>
  <c r="B117" i="5"/>
  <c r="S117" i="4"/>
  <c r="T117" i="4"/>
  <c r="V117" i="4" s="1"/>
  <c r="S116" i="4"/>
  <c r="B116" i="5"/>
  <c r="A116" i="5"/>
  <c r="T116" i="4"/>
  <c r="V116" i="4" s="1"/>
  <c r="B115" i="5"/>
  <c r="A115" i="5"/>
  <c r="S115" i="4"/>
  <c r="T115" i="4"/>
  <c r="V115" i="4" s="1"/>
  <c r="B114" i="5"/>
  <c r="T114" i="4"/>
  <c r="V114" i="4" s="1"/>
  <c r="A114" i="5"/>
  <c r="S114" i="4"/>
  <c r="T113" i="4"/>
  <c r="V113" i="4" s="1"/>
  <c r="B113" i="5"/>
  <c r="A113" i="5"/>
  <c r="S113" i="4"/>
  <c r="A112" i="5"/>
  <c r="B112" i="5"/>
  <c r="T112" i="4"/>
  <c r="V112" i="4" s="1"/>
  <c r="S112" i="4"/>
  <c r="T111" i="4"/>
  <c r="V111" i="4" s="1"/>
  <c r="A111" i="5"/>
  <c r="S111" i="4"/>
  <c r="B111" i="5"/>
  <c r="S110" i="4"/>
  <c r="A110" i="5"/>
  <c r="B110" i="5"/>
  <c r="T110" i="4"/>
  <c r="V110" i="4" s="1"/>
  <c r="A109" i="5"/>
  <c r="S109" i="4"/>
  <c r="T109" i="4"/>
  <c r="V109" i="4" s="1"/>
  <c r="B109" i="5"/>
  <c r="S108" i="4"/>
  <c r="T108" i="4"/>
  <c r="V108" i="4" s="1"/>
  <c r="A108" i="5"/>
  <c r="B108" i="5"/>
  <c r="S107" i="4"/>
  <c r="B107" i="5"/>
  <c r="A107" i="5"/>
  <c r="T107" i="4"/>
  <c r="V107" i="4" s="1"/>
  <c r="B106" i="5"/>
  <c r="A106" i="5"/>
  <c r="S106" i="4"/>
  <c r="T106" i="4"/>
  <c r="V106" i="4" s="1"/>
  <c r="A105" i="5"/>
  <c r="T105" i="4"/>
  <c r="V105" i="4" s="1"/>
  <c r="S105" i="4"/>
  <c r="B105" i="5"/>
  <c r="S104" i="4"/>
  <c r="B104" i="5"/>
  <c r="T104" i="4"/>
  <c r="V104" i="4" s="1"/>
  <c r="A104" i="5"/>
  <c r="S103" i="4"/>
  <c r="T103" i="4"/>
  <c r="V103" i="4" s="1"/>
  <c r="B103" i="5"/>
  <c r="A103" i="5"/>
  <c r="B102" i="5"/>
  <c r="T102" i="4"/>
  <c r="V102" i="4" s="1"/>
  <c r="A102" i="5"/>
  <c r="S102" i="4"/>
  <c r="B101" i="5"/>
  <c r="A101" i="5"/>
  <c r="S101" i="4"/>
  <c r="T101" i="4"/>
  <c r="V101" i="4" s="1"/>
  <c r="B100" i="5"/>
  <c r="S100" i="4"/>
  <c r="A100" i="5"/>
  <c r="T100" i="4"/>
  <c r="V100" i="4" s="1"/>
  <c r="A99" i="5"/>
  <c r="B99" i="5"/>
  <c r="S99" i="4"/>
  <c r="T99" i="4"/>
  <c r="V99" i="4" s="1"/>
  <c r="B98" i="5"/>
  <c r="T98" i="4"/>
  <c r="V98" i="4" s="1"/>
  <c r="A98" i="5"/>
  <c r="S98" i="4"/>
  <c r="B97" i="5"/>
  <c r="A97" i="5"/>
  <c r="S97" i="4"/>
  <c r="T97" i="4"/>
  <c r="V97" i="4" s="1"/>
  <c r="A96" i="5"/>
  <c r="S96" i="4"/>
  <c r="B96" i="5"/>
  <c r="T96" i="4"/>
  <c r="V96" i="4" s="1"/>
  <c r="B95" i="5"/>
  <c r="T95" i="4"/>
  <c r="V95" i="4" s="1"/>
  <c r="S95" i="4"/>
  <c r="A95" i="5"/>
  <c r="T94" i="4"/>
  <c r="V94" i="4" s="1"/>
  <c r="A94" i="5"/>
  <c r="B94" i="5"/>
  <c r="S94" i="4"/>
  <c r="S93" i="4"/>
  <c r="B93" i="5"/>
  <c r="T93" i="4"/>
  <c r="V93" i="4" s="1"/>
  <c r="A93" i="5"/>
  <c r="A92" i="5"/>
  <c r="T92" i="4"/>
  <c r="V92" i="4" s="1"/>
  <c r="S92" i="4"/>
  <c r="B92" i="5"/>
  <c r="A91" i="5"/>
  <c r="T91" i="4"/>
  <c r="V91" i="4" s="1"/>
  <c r="S91" i="4"/>
  <c r="B91" i="5"/>
  <c r="S90" i="4"/>
  <c r="B90" i="5"/>
  <c r="T90" i="4"/>
  <c r="V90" i="4" s="1"/>
  <c r="A90" i="5"/>
  <c r="T89" i="4"/>
  <c r="V89" i="4" s="1"/>
  <c r="S89" i="4"/>
  <c r="A89" i="5"/>
  <c r="B89" i="5"/>
  <c r="S88" i="4"/>
  <c r="B88" i="5"/>
  <c r="T88" i="4"/>
  <c r="V88" i="4" s="1"/>
  <c r="A88" i="5"/>
  <c r="S87" i="4"/>
  <c r="T87" i="4"/>
  <c r="V87" i="4" s="1"/>
  <c r="A87" i="5"/>
  <c r="B87" i="5"/>
  <c r="T86" i="4"/>
  <c r="A86" i="5"/>
  <c r="B86" i="5"/>
  <c r="S86" i="4"/>
  <c r="S85" i="4"/>
  <c r="B85" i="5"/>
  <c r="A85" i="5"/>
  <c r="T85" i="4"/>
  <c r="V85" i="4" s="1"/>
  <c r="T84" i="4"/>
  <c r="V84" i="4" s="1"/>
  <c r="S84" i="4"/>
  <c r="A84" i="5"/>
  <c r="B84" i="5"/>
  <c r="T83" i="4"/>
  <c r="V83" i="4" s="1"/>
  <c r="S83" i="4"/>
  <c r="B83" i="5"/>
  <c r="A83" i="5"/>
  <c r="S82" i="4"/>
  <c r="A82" i="5"/>
  <c r="B82" i="5"/>
  <c r="T82" i="4"/>
  <c r="V82" i="4" s="1"/>
  <c r="T81" i="4"/>
  <c r="A81" i="5"/>
  <c r="B81" i="5"/>
  <c r="S81" i="4"/>
  <c r="T80" i="4"/>
  <c r="V80" i="4" s="1"/>
  <c r="B80" i="5"/>
  <c r="S80" i="4"/>
  <c r="A80" i="5"/>
  <c r="B79" i="5"/>
  <c r="S79" i="4"/>
  <c r="T79" i="4"/>
  <c r="V79" i="4" s="1"/>
  <c r="A79" i="5"/>
  <c r="T78" i="4"/>
  <c r="V78" i="4" s="1"/>
  <c r="S78" i="4"/>
  <c r="A78" i="5"/>
  <c r="B78" i="5"/>
  <c r="A77" i="5"/>
  <c r="S77" i="4"/>
  <c r="T77" i="4"/>
  <c r="B77" i="5"/>
  <c r="A76" i="5"/>
  <c r="T76" i="4"/>
  <c r="V76" i="4" s="1"/>
  <c r="S76" i="4"/>
  <c r="B76" i="5"/>
  <c r="T75" i="4"/>
  <c r="V75" i="4" s="1"/>
  <c r="S75" i="4"/>
  <c r="B75" i="5"/>
  <c r="A75" i="5"/>
  <c r="A74" i="5"/>
  <c r="B74" i="5"/>
  <c r="S74" i="4"/>
  <c r="T74" i="4"/>
  <c r="V74" i="4" s="1"/>
  <c r="B73" i="5"/>
  <c r="A73" i="5"/>
  <c r="T73" i="4"/>
  <c r="S73" i="4"/>
  <c r="S72" i="4"/>
  <c r="A72" i="5"/>
  <c r="T72" i="4"/>
  <c r="V72" i="4" s="1"/>
  <c r="B72" i="5"/>
  <c r="A71" i="5"/>
  <c r="S71" i="4"/>
  <c r="T71" i="4"/>
  <c r="V71" i="4" s="1"/>
  <c r="B71" i="5"/>
  <c r="B70" i="5"/>
  <c r="T70" i="4"/>
  <c r="V70" i="4" s="1"/>
  <c r="A70" i="5"/>
  <c r="S70" i="4"/>
  <c r="B69" i="5"/>
  <c r="A69" i="5"/>
  <c r="S69" i="4"/>
  <c r="T69" i="4"/>
  <c r="A68" i="5"/>
  <c r="S68" i="4"/>
  <c r="T68" i="4"/>
  <c r="V68" i="4" s="1"/>
  <c r="B68" i="5"/>
  <c r="A67" i="5"/>
  <c r="T67" i="4"/>
  <c r="V67" i="4" s="1"/>
  <c r="S67" i="4"/>
  <c r="B67" i="5"/>
  <c r="S66" i="4"/>
  <c r="A66" i="5"/>
  <c r="T66" i="4"/>
  <c r="V66" i="4" s="1"/>
  <c r="B66" i="5"/>
  <c r="T65" i="4"/>
  <c r="A65" i="5"/>
  <c r="B65" i="5"/>
  <c r="S65" i="4"/>
  <c r="A64" i="5"/>
  <c r="B64" i="5"/>
  <c r="S64" i="4"/>
  <c r="T64" i="4"/>
  <c r="V64" i="4" s="1"/>
  <c r="A63" i="5"/>
  <c r="B63" i="5"/>
  <c r="S63" i="4"/>
  <c r="T63" i="4"/>
  <c r="V63" i="4" s="1"/>
  <c r="B62" i="5"/>
  <c r="A62" i="5"/>
  <c r="S62" i="4"/>
  <c r="T62" i="4"/>
  <c r="V62" i="4" s="1"/>
  <c r="S61" i="4"/>
  <c r="A61" i="5"/>
  <c r="T61" i="4"/>
  <c r="V61" i="4" s="1"/>
  <c r="B61" i="5"/>
  <c r="A60" i="5"/>
  <c r="T60" i="4"/>
  <c r="S60" i="4"/>
  <c r="B60" i="5"/>
  <c r="T59" i="4"/>
  <c r="V59" i="4" s="1"/>
  <c r="S59" i="4"/>
  <c r="A59" i="5"/>
  <c r="B59" i="5"/>
  <c r="B58" i="5"/>
  <c r="S58" i="4"/>
  <c r="A58" i="5"/>
  <c r="T58" i="4"/>
  <c r="V58" i="4" s="1"/>
  <c r="A57" i="5"/>
  <c r="S57" i="4"/>
  <c r="T57" i="4"/>
  <c r="V57" i="4" s="1"/>
  <c r="B57" i="5"/>
  <c r="B56" i="5"/>
  <c r="T56" i="4"/>
  <c r="V56" i="4" s="1"/>
  <c r="S56" i="4"/>
  <c r="A56" i="5"/>
  <c r="S55" i="4"/>
  <c r="A55" i="5"/>
  <c r="B55" i="5"/>
  <c r="T55" i="4"/>
  <c r="V55" i="4" s="1"/>
  <c r="S54" i="4"/>
  <c r="T54" i="4"/>
  <c r="V54" i="4" s="1"/>
  <c r="B54" i="5"/>
  <c r="A54" i="5"/>
  <c r="A53" i="5"/>
  <c r="T53" i="4"/>
  <c r="V53" i="4" s="1"/>
  <c r="B53" i="5"/>
  <c r="S53" i="4"/>
  <c r="B52" i="5"/>
  <c r="S52" i="4"/>
  <c r="A52" i="5"/>
  <c r="T52" i="4"/>
  <c r="V52" i="4" s="1"/>
  <c r="B51" i="5"/>
  <c r="A51" i="5"/>
  <c r="T50" i="4"/>
  <c r="V50" i="4" s="1"/>
  <c r="S50" i="4"/>
  <c r="B50" i="5"/>
  <c r="A50" i="5"/>
  <c r="T49" i="4"/>
  <c r="V49" i="4" s="1"/>
  <c r="S49" i="4"/>
  <c r="A49" i="5"/>
  <c r="B49" i="5"/>
  <c r="T48" i="4"/>
  <c r="V48" i="4" s="1"/>
  <c r="A48" i="5"/>
  <c r="S48" i="4"/>
  <c r="B48" i="5"/>
  <c r="A47" i="5"/>
  <c r="B47" i="5"/>
  <c r="T47" i="4"/>
  <c r="V47" i="4" s="1"/>
  <c r="S47" i="4"/>
  <c r="A46" i="5"/>
  <c r="B46" i="5"/>
  <c r="T46" i="4"/>
  <c r="V46" i="4" s="1"/>
  <c r="S46" i="4"/>
  <c r="A45" i="5"/>
  <c r="B45" i="5"/>
  <c r="T45" i="4"/>
  <c r="V45" i="4" s="1"/>
  <c r="S45" i="4"/>
  <c r="T44" i="4"/>
  <c r="V44" i="4" s="1"/>
  <c r="A44" i="5"/>
  <c r="S44" i="4"/>
  <c r="B44" i="5"/>
  <c r="B43" i="5"/>
  <c r="T43" i="4"/>
  <c r="V43" i="4" s="1"/>
  <c r="S43" i="4"/>
  <c r="A43" i="5"/>
  <c r="S42" i="4"/>
  <c r="T42" i="4"/>
  <c r="V42" i="4" s="1"/>
  <c r="B42" i="5"/>
  <c r="A42" i="5"/>
  <c r="T41" i="4"/>
  <c r="V41" i="4" s="1"/>
  <c r="S41" i="4"/>
  <c r="B41" i="5"/>
  <c r="A41" i="5"/>
  <c r="S40" i="4"/>
  <c r="B40" i="5"/>
  <c r="A40" i="5"/>
  <c r="T40" i="4"/>
  <c r="V40" i="4" s="1"/>
  <c r="B39" i="5"/>
  <c r="A39" i="5"/>
  <c r="T39" i="4"/>
  <c r="V39" i="4" s="1"/>
  <c r="S39" i="4"/>
  <c r="B38" i="5"/>
  <c r="A38" i="5"/>
  <c r="S38" i="4"/>
  <c r="T38" i="4"/>
  <c r="V38" i="4" s="1"/>
  <c r="B37" i="5"/>
  <c r="A37" i="5"/>
  <c r="S37" i="4"/>
  <c r="T37" i="4"/>
  <c r="V37" i="4" s="1"/>
  <c r="B36" i="5"/>
  <c r="A36" i="5"/>
  <c r="T36" i="4"/>
  <c r="V36" i="4" s="1"/>
  <c r="S36" i="4"/>
  <c r="B35" i="5"/>
  <c r="A35" i="5"/>
  <c r="S35" i="4"/>
  <c r="T35" i="4"/>
  <c r="V35" i="4" s="1"/>
  <c r="B34" i="5"/>
  <c r="A34" i="5"/>
  <c r="T34" i="4"/>
  <c r="V34" i="4" s="1"/>
  <c r="S34" i="4"/>
  <c r="T33" i="4"/>
  <c r="V33" i="4" s="1"/>
  <c r="B33" i="5"/>
  <c r="A33" i="5"/>
  <c r="S33" i="4"/>
  <c r="S32" i="4"/>
  <c r="T32" i="4"/>
  <c r="V32" i="4" s="1"/>
  <c r="B32" i="5"/>
  <c r="A32" i="5"/>
  <c r="T31" i="4"/>
  <c r="V31" i="4" s="1"/>
  <c r="S31" i="4"/>
  <c r="B31" i="5"/>
  <c r="A31" i="5"/>
  <c r="S30" i="4"/>
  <c r="T30" i="4"/>
  <c r="V30" i="4" s="1"/>
  <c r="B30" i="5"/>
  <c r="A30" i="5"/>
  <c r="T29" i="4"/>
  <c r="V29" i="4" s="1"/>
  <c r="S29" i="4"/>
  <c r="B29" i="5"/>
  <c r="A29" i="5"/>
  <c r="S28" i="4"/>
  <c r="T28" i="4"/>
  <c r="B28" i="5"/>
  <c r="A28" i="5"/>
  <c r="S27" i="4"/>
  <c r="T27" i="4"/>
  <c r="V27" i="4" s="1"/>
  <c r="A27" i="5"/>
  <c r="B27" i="5"/>
  <c r="S26" i="4"/>
  <c r="T26" i="4"/>
  <c r="V26" i="4" s="1"/>
  <c r="A26" i="5"/>
  <c r="B26" i="5"/>
  <c r="S25" i="4"/>
  <c r="T25" i="4"/>
  <c r="V25" i="4" s="1"/>
  <c r="B25" i="5"/>
  <c r="A25" i="5"/>
  <c r="A24" i="5"/>
  <c r="B24" i="5"/>
  <c r="T24" i="4"/>
  <c r="V24" i="4" s="1"/>
  <c r="S24" i="4"/>
  <c r="T23" i="4"/>
  <c r="V23" i="4" s="1"/>
  <c r="A23" i="5"/>
  <c r="B23" i="5"/>
  <c r="S23" i="4"/>
  <c r="A22" i="5"/>
  <c r="B22" i="5"/>
  <c r="S22" i="4"/>
  <c r="T22" i="4"/>
  <c r="V22" i="4" s="1"/>
  <c r="B21" i="5"/>
  <c r="S21" i="4"/>
  <c r="A21" i="5"/>
  <c r="T21" i="4"/>
  <c r="V21" i="4" s="1"/>
  <c r="S20" i="4"/>
  <c r="A20" i="5"/>
  <c r="T20" i="4"/>
  <c r="V20" i="4" s="1"/>
  <c r="B20" i="5"/>
  <c r="T19" i="4"/>
  <c r="V19" i="4" s="1"/>
  <c r="A19" i="5"/>
  <c r="B19" i="5"/>
  <c r="S19" i="4"/>
  <c r="A18" i="5"/>
  <c r="B18" i="5"/>
  <c r="S18" i="4"/>
  <c r="T18" i="4"/>
  <c r="V18" i="4" s="1"/>
  <c r="B17" i="5"/>
  <c r="S17" i="4"/>
  <c r="T17" i="4"/>
  <c r="V17" i="4" s="1"/>
  <c r="A17" i="5"/>
  <c r="S16" i="4"/>
  <c r="T16" i="4"/>
  <c r="V16" i="4" s="1"/>
  <c r="B16" i="5"/>
  <c r="A16" i="5"/>
  <c r="S15" i="4"/>
  <c r="B15" i="5"/>
  <c r="A15" i="5"/>
  <c r="T15" i="4"/>
  <c r="S14" i="4"/>
  <c r="T14" i="4"/>
  <c r="V14" i="4" s="1"/>
  <c r="B14" i="5"/>
  <c r="A14" i="5"/>
  <c r="B13" i="5"/>
  <c r="A13" i="5"/>
  <c r="T13" i="4"/>
  <c r="V13" i="4" s="1"/>
  <c r="S13" i="4"/>
  <c r="A12" i="5"/>
  <c r="B12" i="5"/>
  <c r="T12" i="4"/>
  <c r="V12" i="4" s="1"/>
  <c r="S12" i="4"/>
  <c r="A11" i="5"/>
  <c r="B11" i="5"/>
  <c r="T11" i="4"/>
  <c r="S11" i="4"/>
  <c r="B10" i="5"/>
  <c r="A10" i="5"/>
  <c r="T10" i="4"/>
  <c r="V10" i="4" s="1"/>
  <c r="S10" i="4"/>
  <c r="B9" i="5"/>
  <c r="A9" i="5"/>
  <c r="T9" i="4"/>
  <c r="V9" i="4" s="1"/>
  <c r="S9" i="4"/>
  <c r="B8" i="5"/>
  <c r="A8" i="5"/>
  <c r="S8" i="4"/>
  <c r="T8" i="4"/>
  <c r="V8" i="4" s="1"/>
  <c r="A7" i="5"/>
  <c r="B7" i="5"/>
  <c r="T7" i="4"/>
  <c r="V7" i="4" s="1"/>
  <c r="S7" i="4"/>
  <c r="B6" i="5"/>
  <c r="A6" i="5"/>
  <c r="T6" i="4"/>
  <c r="V6" i="4" s="1"/>
  <c r="S6" i="4"/>
  <c r="B5" i="5"/>
  <c r="A5" i="5"/>
  <c r="T5" i="4"/>
  <c r="V5" i="4" s="1"/>
  <c r="S5" i="4"/>
  <c r="S4" i="4"/>
  <c r="A4" i="5"/>
  <c r="B4" i="5"/>
  <c r="T4" i="4"/>
  <c r="C159" i="5" l="1"/>
  <c r="D159" i="5"/>
  <c r="E159" i="5"/>
  <c r="F159" i="5"/>
  <c r="G159" i="5"/>
  <c r="H159" i="5"/>
  <c r="I159" i="5"/>
  <c r="K159" i="5"/>
  <c r="V159" i="5"/>
  <c r="J159" i="5"/>
  <c r="C158" i="5"/>
  <c r="D158" i="5"/>
  <c r="E158" i="5"/>
  <c r="F158" i="5"/>
  <c r="G158" i="5"/>
  <c r="H158" i="5"/>
  <c r="I158" i="5"/>
  <c r="J158" i="5"/>
  <c r="K158" i="5"/>
  <c r="V158" i="5"/>
  <c r="C157" i="5"/>
  <c r="D157" i="5"/>
  <c r="E157" i="5"/>
  <c r="F157" i="5"/>
  <c r="G157" i="5"/>
  <c r="H157" i="5"/>
  <c r="I157" i="5"/>
  <c r="J157" i="5"/>
  <c r="K157" i="5"/>
  <c r="V157" i="5"/>
  <c r="C156" i="5"/>
  <c r="D156" i="5"/>
  <c r="E156" i="5"/>
  <c r="F156" i="5"/>
  <c r="G156" i="5"/>
  <c r="H156" i="5"/>
  <c r="I156" i="5"/>
  <c r="J156" i="5"/>
  <c r="K156" i="5"/>
  <c r="V156" i="5"/>
  <c r="C155" i="5"/>
  <c r="D155" i="5"/>
  <c r="E155" i="5"/>
  <c r="F155" i="5"/>
  <c r="G155" i="5"/>
  <c r="H155" i="5"/>
  <c r="I155" i="5"/>
  <c r="J155" i="5"/>
  <c r="K155" i="5"/>
  <c r="V155" i="5"/>
  <c r="C154" i="5"/>
  <c r="D154" i="5"/>
  <c r="E154" i="5"/>
  <c r="F154" i="5"/>
  <c r="G154" i="5"/>
  <c r="H154" i="5"/>
  <c r="I154" i="5"/>
  <c r="J154" i="5"/>
  <c r="K154" i="5"/>
  <c r="V154" i="5"/>
  <c r="C153" i="5"/>
  <c r="D153" i="5"/>
  <c r="E153" i="5"/>
  <c r="F153" i="5"/>
  <c r="G153" i="5"/>
  <c r="H153" i="5"/>
  <c r="I153" i="5"/>
  <c r="J153" i="5"/>
  <c r="K153" i="5"/>
  <c r="V153" i="5"/>
  <c r="C152" i="5"/>
  <c r="D152" i="5"/>
  <c r="E152" i="5"/>
  <c r="F152" i="5"/>
  <c r="G152" i="5"/>
  <c r="H152" i="5"/>
  <c r="I152" i="5"/>
  <c r="J152" i="5"/>
  <c r="K152" i="5"/>
  <c r="V152" i="5"/>
  <c r="C151" i="5"/>
  <c r="D151" i="5"/>
  <c r="E151" i="5"/>
  <c r="F151" i="5"/>
  <c r="G151" i="5"/>
  <c r="H151" i="5"/>
  <c r="I151" i="5"/>
  <c r="J151" i="5"/>
  <c r="K151" i="5"/>
  <c r="V151" i="5"/>
  <c r="C150" i="5"/>
  <c r="D150" i="5"/>
  <c r="E150" i="5"/>
  <c r="F150" i="5"/>
  <c r="G150" i="5"/>
  <c r="H150" i="5"/>
  <c r="I150" i="5"/>
  <c r="J150" i="5"/>
  <c r="K150" i="5"/>
  <c r="V150" i="5"/>
  <c r="C149" i="5"/>
  <c r="D149" i="5"/>
  <c r="E149" i="5"/>
  <c r="F149" i="5"/>
  <c r="G149" i="5"/>
  <c r="H149" i="5"/>
  <c r="I149" i="5"/>
  <c r="J149" i="5"/>
  <c r="K149" i="5"/>
  <c r="V149" i="5"/>
  <c r="C148" i="5"/>
  <c r="D148" i="5"/>
  <c r="E148" i="5"/>
  <c r="F148" i="5"/>
  <c r="G148" i="5"/>
  <c r="H148" i="5"/>
  <c r="I148" i="5"/>
  <c r="J148" i="5"/>
  <c r="K148" i="5"/>
  <c r="V148" i="5"/>
  <c r="C147" i="5"/>
  <c r="D147" i="5"/>
  <c r="E147" i="5"/>
  <c r="F147" i="5"/>
  <c r="G147" i="5"/>
  <c r="H147" i="5"/>
  <c r="I147" i="5"/>
  <c r="J147" i="5"/>
  <c r="V147" i="5"/>
  <c r="K147" i="5"/>
  <c r="C146" i="5"/>
  <c r="D146" i="5"/>
  <c r="E146" i="5"/>
  <c r="F146" i="5"/>
  <c r="G146" i="5"/>
  <c r="H146" i="5"/>
  <c r="I146" i="5"/>
  <c r="J146" i="5"/>
  <c r="K146" i="5"/>
  <c r="V146" i="5"/>
  <c r="C145" i="5"/>
  <c r="D145" i="5"/>
  <c r="E145" i="5"/>
  <c r="F145" i="5"/>
  <c r="G145" i="5"/>
  <c r="H145" i="5"/>
  <c r="I145" i="5"/>
  <c r="J145" i="5"/>
  <c r="K145" i="5"/>
  <c r="V145" i="5"/>
  <c r="C144" i="5"/>
  <c r="D144" i="5"/>
  <c r="E144" i="5"/>
  <c r="F144" i="5"/>
  <c r="G144" i="5"/>
  <c r="H144" i="5"/>
  <c r="I144" i="5"/>
  <c r="J144" i="5"/>
  <c r="K144" i="5"/>
  <c r="V144" i="5"/>
  <c r="C143" i="5"/>
  <c r="D143" i="5"/>
  <c r="E143" i="5"/>
  <c r="F143" i="5"/>
  <c r="G143" i="5"/>
  <c r="H143" i="5"/>
  <c r="I143" i="5"/>
  <c r="J143" i="5"/>
  <c r="K143" i="5"/>
  <c r="V143" i="5"/>
  <c r="C142" i="5"/>
  <c r="D142" i="5"/>
  <c r="E142" i="5"/>
  <c r="F142" i="5"/>
  <c r="G142" i="5"/>
  <c r="H142" i="5"/>
  <c r="I142" i="5"/>
  <c r="J142" i="5"/>
  <c r="K142" i="5"/>
  <c r="V142" i="5"/>
  <c r="C141" i="5"/>
  <c r="D141" i="5"/>
  <c r="E141" i="5"/>
  <c r="F141" i="5"/>
  <c r="G141" i="5"/>
  <c r="H141" i="5"/>
  <c r="I141" i="5"/>
  <c r="J141" i="5"/>
  <c r="K141" i="5"/>
  <c r="V141" i="5"/>
  <c r="C140" i="5"/>
  <c r="D140" i="5"/>
  <c r="E140" i="5"/>
  <c r="F140" i="5"/>
  <c r="G140" i="5"/>
  <c r="H140" i="5"/>
  <c r="I140" i="5"/>
  <c r="J140" i="5"/>
  <c r="K140" i="5"/>
  <c r="V140" i="5"/>
  <c r="C139" i="5"/>
  <c r="D139" i="5"/>
  <c r="E139" i="5"/>
  <c r="F139" i="5"/>
  <c r="G139" i="5"/>
  <c r="H139" i="5"/>
  <c r="I139" i="5"/>
  <c r="J139" i="5"/>
  <c r="K139" i="5"/>
  <c r="V139" i="5"/>
  <c r="C138" i="5"/>
  <c r="D138" i="5"/>
  <c r="E138" i="5"/>
  <c r="F138" i="5"/>
  <c r="G138" i="5"/>
  <c r="H138" i="5"/>
  <c r="I138" i="5"/>
  <c r="J138" i="5"/>
  <c r="K138" i="5"/>
  <c r="V138" i="5"/>
  <c r="C137" i="5"/>
  <c r="D137" i="5"/>
  <c r="E137" i="5"/>
  <c r="F137" i="5"/>
  <c r="G137" i="5"/>
  <c r="H137" i="5"/>
  <c r="I137" i="5"/>
  <c r="J137" i="5"/>
  <c r="K137" i="5"/>
  <c r="V137" i="5"/>
  <c r="E136" i="5"/>
  <c r="G136" i="5"/>
  <c r="I136" i="5"/>
  <c r="V136" i="5"/>
  <c r="C136" i="5"/>
  <c r="D136" i="5"/>
  <c r="F136" i="5"/>
  <c r="H136" i="5"/>
  <c r="J136" i="5"/>
  <c r="K136" i="5"/>
  <c r="D135" i="5"/>
  <c r="F135" i="5"/>
  <c r="H135" i="5"/>
  <c r="J135" i="5"/>
  <c r="V135" i="5"/>
  <c r="C135" i="5"/>
  <c r="E135" i="5"/>
  <c r="G135" i="5"/>
  <c r="I135" i="5"/>
  <c r="K135" i="5"/>
  <c r="D134" i="5"/>
  <c r="F134" i="5"/>
  <c r="G134" i="5"/>
  <c r="I134" i="5"/>
  <c r="K134" i="5"/>
  <c r="C134" i="5"/>
  <c r="E134" i="5"/>
  <c r="H134" i="5"/>
  <c r="J134" i="5"/>
  <c r="V134" i="5"/>
  <c r="D133" i="5"/>
  <c r="F133" i="5"/>
  <c r="I133" i="5"/>
  <c r="K133" i="5"/>
  <c r="C133" i="5"/>
  <c r="E133" i="5"/>
  <c r="G133" i="5"/>
  <c r="H133" i="5"/>
  <c r="J133" i="5"/>
  <c r="V133" i="5"/>
  <c r="D132" i="5"/>
  <c r="E132" i="5"/>
  <c r="G132" i="5"/>
  <c r="I132" i="5"/>
  <c r="J132" i="5"/>
  <c r="V132" i="5"/>
  <c r="C132" i="5"/>
  <c r="F132" i="5"/>
  <c r="H132" i="5"/>
  <c r="K132" i="5"/>
  <c r="D131" i="5"/>
  <c r="E131" i="5"/>
  <c r="G131" i="5"/>
  <c r="H131" i="5"/>
  <c r="J131" i="5"/>
  <c r="C131" i="5"/>
  <c r="F131" i="5"/>
  <c r="I131" i="5"/>
  <c r="K131" i="5"/>
  <c r="V131" i="5"/>
  <c r="D130" i="5"/>
  <c r="E130" i="5"/>
  <c r="G130" i="5"/>
  <c r="I130" i="5"/>
  <c r="K130" i="5"/>
  <c r="V130" i="5"/>
  <c r="C130" i="5"/>
  <c r="F130" i="5"/>
  <c r="H130" i="5"/>
  <c r="J130" i="5"/>
  <c r="E129" i="5"/>
  <c r="H129" i="5"/>
  <c r="J129" i="5"/>
  <c r="C129" i="5"/>
  <c r="D129" i="5"/>
  <c r="F129" i="5"/>
  <c r="G129" i="5"/>
  <c r="I129" i="5"/>
  <c r="K129" i="5"/>
  <c r="V129" i="5"/>
  <c r="F128" i="5"/>
  <c r="I128" i="5"/>
  <c r="K128" i="5"/>
  <c r="C128" i="5"/>
  <c r="E128" i="5"/>
  <c r="H128" i="5"/>
  <c r="J128" i="5"/>
  <c r="D128" i="5"/>
  <c r="G128" i="5"/>
  <c r="V128" i="5"/>
  <c r="F127" i="5"/>
  <c r="K127" i="5"/>
  <c r="D127" i="5"/>
  <c r="H127" i="5"/>
  <c r="J127" i="5"/>
  <c r="C127" i="5"/>
  <c r="E127" i="5"/>
  <c r="G127" i="5"/>
  <c r="I127" i="5"/>
  <c r="V127" i="5"/>
  <c r="D126" i="5"/>
  <c r="F126" i="5"/>
  <c r="H126" i="5"/>
  <c r="J126" i="5"/>
  <c r="C126" i="5"/>
  <c r="G126" i="5"/>
  <c r="K126" i="5"/>
  <c r="E126" i="5"/>
  <c r="I126" i="5"/>
  <c r="V126" i="5"/>
  <c r="D125" i="5"/>
  <c r="F125" i="5"/>
  <c r="I125" i="5"/>
  <c r="K125" i="5"/>
  <c r="C125" i="5"/>
  <c r="G125" i="5"/>
  <c r="E125" i="5"/>
  <c r="H125" i="5"/>
  <c r="J125" i="5"/>
  <c r="V125" i="5"/>
  <c r="C124" i="5"/>
  <c r="D124" i="5"/>
  <c r="F124" i="5"/>
  <c r="H124" i="5"/>
  <c r="J124" i="5"/>
  <c r="E124" i="5"/>
  <c r="G124" i="5"/>
  <c r="I124" i="5"/>
  <c r="K124" i="5"/>
  <c r="V124" i="5"/>
  <c r="C123" i="5"/>
  <c r="D123" i="5"/>
  <c r="E123" i="5"/>
  <c r="F123" i="5"/>
  <c r="G123" i="5"/>
  <c r="H123" i="5"/>
  <c r="I123" i="5"/>
  <c r="J123" i="5"/>
  <c r="K123" i="5"/>
  <c r="V123" i="5"/>
  <c r="C122" i="5"/>
  <c r="D122" i="5"/>
  <c r="E122" i="5"/>
  <c r="F122" i="5"/>
  <c r="G122" i="5"/>
  <c r="H122" i="5"/>
  <c r="I122" i="5"/>
  <c r="J122" i="5"/>
  <c r="K122" i="5"/>
  <c r="V122" i="5"/>
  <c r="C121" i="5"/>
  <c r="D121" i="5"/>
  <c r="E121" i="5"/>
  <c r="F121" i="5"/>
  <c r="G121" i="5"/>
  <c r="H121" i="5"/>
  <c r="I121" i="5"/>
  <c r="J121" i="5"/>
  <c r="K121" i="5"/>
  <c r="V121" i="5"/>
  <c r="C120" i="5"/>
  <c r="D120" i="5"/>
  <c r="E120" i="5"/>
  <c r="F120" i="5"/>
  <c r="G120" i="5"/>
  <c r="H120" i="5"/>
  <c r="I120" i="5"/>
  <c r="J120" i="5"/>
  <c r="K120" i="5"/>
  <c r="V120" i="5"/>
  <c r="C119" i="5"/>
  <c r="D119" i="5"/>
  <c r="E119" i="5"/>
  <c r="F119" i="5"/>
  <c r="G119" i="5"/>
  <c r="H119" i="5"/>
  <c r="I119" i="5"/>
  <c r="J119" i="5"/>
  <c r="K119" i="5"/>
  <c r="V119" i="5"/>
  <c r="C118" i="5"/>
  <c r="D118" i="5"/>
  <c r="E118" i="5"/>
  <c r="F118" i="5"/>
  <c r="G118" i="5"/>
  <c r="H118" i="5"/>
  <c r="I118" i="5"/>
  <c r="J118" i="5"/>
  <c r="K118" i="5"/>
  <c r="V118" i="5"/>
  <c r="C117" i="5"/>
  <c r="D117" i="5"/>
  <c r="E117" i="5"/>
  <c r="F117" i="5"/>
  <c r="G117" i="5"/>
  <c r="H117" i="5"/>
  <c r="I117" i="5"/>
  <c r="J117" i="5"/>
  <c r="K117" i="5"/>
  <c r="V117" i="5"/>
  <c r="C116" i="5"/>
  <c r="D116" i="5"/>
  <c r="E116" i="5"/>
  <c r="F116" i="5"/>
  <c r="G116" i="5"/>
  <c r="H116" i="5"/>
  <c r="I116" i="5"/>
  <c r="J116" i="5"/>
  <c r="K116" i="5"/>
  <c r="V116" i="5"/>
  <c r="C115" i="5"/>
  <c r="D115" i="5"/>
  <c r="E115" i="5"/>
  <c r="F115" i="5"/>
  <c r="G115" i="5"/>
  <c r="H115" i="5"/>
  <c r="I115" i="5"/>
  <c r="J115" i="5"/>
  <c r="K115" i="5"/>
  <c r="V115" i="5"/>
  <c r="C114" i="5"/>
  <c r="D114" i="5"/>
  <c r="E114" i="5"/>
  <c r="F114" i="5"/>
  <c r="G114" i="5"/>
  <c r="H114" i="5"/>
  <c r="I114" i="5"/>
  <c r="J114" i="5"/>
  <c r="K114" i="5"/>
  <c r="V114" i="5"/>
  <c r="C113" i="5"/>
  <c r="D113" i="5"/>
  <c r="E113" i="5"/>
  <c r="F113" i="5"/>
  <c r="G113" i="5"/>
  <c r="H113" i="5"/>
  <c r="I113" i="5"/>
  <c r="J113" i="5"/>
  <c r="K113" i="5"/>
  <c r="V113" i="5"/>
  <c r="C112" i="5"/>
  <c r="D112" i="5"/>
  <c r="E112" i="5"/>
  <c r="F112" i="5"/>
  <c r="G112" i="5"/>
  <c r="H112" i="5"/>
  <c r="I112" i="5"/>
  <c r="J112" i="5"/>
  <c r="K112" i="5"/>
  <c r="V112" i="5"/>
  <c r="C111" i="5"/>
  <c r="D111" i="5"/>
  <c r="E111" i="5"/>
  <c r="F111" i="5"/>
  <c r="G111" i="5"/>
  <c r="H111" i="5"/>
  <c r="I111" i="5"/>
  <c r="J111" i="5"/>
  <c r="K111" i="5"/>
  <c r="V111" i="5"/>
  <c r="C110" i="5"/>
  <c r="D110" i="5"/>
  <c r="E110" i="5"/>
  <c r="F110" i="5"/>
  <c r="G110" i="5"/>
  <c r="H110" i="5"/>
  <c r="I110" i="5"/>
  <c r="J110" i="5"/>
  <c r="K110" i="5"/>
  <c r="V110" i="5"/>
  <c r="C109" i="5"/>
  <c r="D109" i="5"/>
  <c r="E109" i="5"/>
  <c r="F109" i="5"/>
  <c r="G109" i="5"/>
  <c r="H109" i="5"/>
  <c r="I109" i="5"/>
  <c r="J109" i="5"/>
  <c r="K109" i="5"/>
  <c r="V109" i="5"/>
  <c r="C108" i="5"/>
  <c r="D108" i="5"/>
  <c r="E108" i="5"/>
  <c r="F108" i="5"/>
  <c r="G108" i="5"/>
  <c r="H108" i="5"/>
  <c r="I108" i="5"/>
  <c r="J108" i="5"/>
  <c r="K108" i="5"/>
  <c r="V108" i="5"/>
  <c r="C107" i="5"/>
  <c r="D107" i="5"/>
  <c r="E107" i="5"/>
  <c r="F107" i="5"/>
  <c r="G107" i="5"/>
  <c r="H107" i="5"/>
  <c r="I107" i="5"/>
  <c r="J107" i="5"/>
  <c r="K107" i="5"/>
  <c r="V107" i="5"/>
  <c r="C106" i="5"/>
  <c r="D106" i="5"/>
  <c r="E106" i="5"/>
  <c r="F106" i="5"/>
  <c r="G106" i="5"/>
  <c r="H106" i="5"/>
  <c r="I106" i="5"/>
  <c r="J106" i="5"/>
  <c r="K106" i="5"/>
  <c r="V106" i="5"/>
  <c r="C105" i="5"/>
  <c r="D105" i="5"/>
  <c r="E105" i="5"/>
  <c r="F105" i="5"/>
  <c r="G105" i="5"/>
  <c r="H105" i="5"/>
  <c r="I105" i="5"/>
  <c r="J105" i="5"/>
  <c r="K105" i="5"/>
  <c r="V105" i="5"/>
  <c r="C104" i="5"/>
  <c r="D104" i="5"/>
  <c r="E104" i="5"/>
  <c r="F104" i="5"/>
  <c r="G104" i="5"/>
  <c r="H104" i="5"/>
  <c r="I104" i="5"/>
  <c r="J104" i="5"/>
  <c r="K104" i="5"/>
  <c r="V104" i="5"/>
  <c r="C103" i="5"/>
  <c r="D103" i="5"/>
  <c r="E103" i="5"/>
  <c r="F103" i="5"/>
  <c r="G103" i="5"/>
  <c r="H103" i="5"/>
  <c r="I103" i="5"/>
  <c r="J103" i="5"/>
  <c r="K103" i="5"/>
  <c r="V103" i="5"/>
  <c r="C102" i="5"/>
  <c r="D102" i="5"/>
  <c r="E102" i="5"/>
  <c r="F102" i="5"/>
  <c r="G102" i="5"/>
  <c r="H102" i="5"/>
  <c r="I102" i="5"/>
  <c r="J102" i="5"/>
  <c r="K102" i="5"/>
  <c r="V102" i="5"/>
  <c r="D101" i="5"/>
  <c r="G101" i="5"/>
  <c r="H101" i="5"/>
  <c r="J101" i="5"/>
  <c r="K101" i="5"/>
  <c r="V101" i="5"/>
  <c r="C101" i="5"/>
  <c r="E101" i="5"/>
  <c r="F101" i="5"/>
  <c r="I101" i="5"/>
  <c r="E100" i="5"/>
  <c r="G100" i="5"/>
  <c r="J100" i="5"/>
  <c r="V100" i="5"/>
  <c r="C100" i="5"/>
  <c r="D100" i="5"/>
  <c r="F100" i="5"/>
  <c r="I100" i="5"/>
  <c r="K100" i="5"/>
  <c r="H100" i="5"/>
  <c r="C99" i="5"/>
  <c r="D99" i="5"/>
  <c r="E99" i="5"/>
  <c r="F99" i="5"/>
  <c r="G99" i="5"/>
  <c r="J99" i="5"/>
  <c r="V99" i="5"/>
  <c r="H99" i="5"/>
  <c r="I99" i="5"/>
  <c r="K99" i="5"/>
  <c r="C98" i="5"/>
  <c r="D98" i="5"/>
  <c r="E98" i="5"/>
  <c r="F98" i="5"/>
  <c r="G98" i="5"/>
  <c r="H98" i="5"/>
  <c r="I98" i="5"/>
  <c r="J98" i="5"/>
  <c r="K98" i="5"/>
  <c r="V98" i="5"/>
  <c r="C97" i="5"/>
  <c r="D97" i="5"/>
  <c r="E97" i="5"/>
  <c r="F97" i="5"/>
  <c r="G97" i="5"/>
  <c r="H97" i="5"/>
  <c r="I97" i="5"/>
  <c r="J97" i="5"/>
  <c r="K97" i="5"/>
  <c r="V97" i="5"/>
  <c r="D96" i="5"/>
  <c r="F96" i="5"/>
  <c r="H96" i="5"/>
  <c r="J96" i="5"/>
  <c r="V96" i="5"/>
  <c r="C96" i="5"/>
  <c r="E96" i="5"/>
  <c r="G96" i="5"/>
  <c r="I96" i="5"/>
  <c r="K96" i="5"/>
  <c r="F95" i="5"/>
  <c r="H95" i="5"/>
  <c r="C95" i="5"/>
  <c r="E95" i="5"/>
  <c r="G95" i="5"/>
  <c r="J95" i="5"/>
  <c r="K95" i="5"/>
  <c r="V95" i="5"/>
  <c r="D95" i="5"/>
  <c r="I95" i="5"/>
  <c r="H94" i="5"/>
  <c r="C94" i="5"/>
  <c r="E94" i="5"/>
  <c r="G94" i="5"/>
  <c r="J94" i="5"/>
  <c r="D94" i="5"/>
  <c r="I94" i="5"/>
  <c r="K94" i="5"/>
  <c r="V94" i="5"/>
  <c r="F94" i="5"/>
  <c r="F93" i="5"/>
  <c r="H93" i="5"/>
  <c r="C93" i="5"/>
  <c r="E93" i="5"/>
  <c r="G93" i="5"/>
  <c r="I93" i="5"/>
  <c r="V93" i="5"/>
  <c r="D93" i="5"/>
  <c r="J93" i="5"/>
  <c r="K93" i="5"/>
  <c r="G92" i="5"/>
  <c r="I92" i="5"/>
  <c r="V92" i="5"/>
  <c r="F92" i="5"/>
  <c r="C92" i="5"/>
  <c r="K92" i="5"/>
  <c r="E92" i="5"/>
  <c r="H92" i="5"/>
  <c r="J92" i="5"/>
  <c r="D92" i="5"/>
  <c r="G91" i="5"/>
  <c r="J91" i="5"/>
  <c r="E91" i="5"/>
  <c r="H91" i="5"/>
  <c r="D91" i="5"/>
  <c r="V91" i="5"/>
  <c r="K91" i="5"/>
  <c r="C91" i="5"/>
  <c r="F91" i="5"/>
  <c r="I91" i="5"/>
  <c r="D90" i="5"/>
  <c r="J90" i="5"/>
  <c r="K90" i="5"/>
  <c r="F90" i="5"/>
  <c r="C90" i="5"/>
  <c r="H90" i="5"/>
  <c r="E90" i="5"/>
  <c r="G90" i="5"/>
  <c r="I90" i="5"/>
  <c r="V90" i="5"/>
  <c r="H89" i="5"/>
  <c r="K89" i="5"/>
  <c r="J89" i="5"/>
  <c r="D89" i="5"/>
  <c r="I89" i="5"/>
  <c r="F89" i="5"/>
  <c r="V89" i="5"/>
  <c r="C89" i="5"/>
  <c r="G89" i="5"/>
  <c r="E89" i="5"/>
  <c r="C88" i="5"/>
  <c r="D88" i="5"/>
  <c r="E88" i="5"/>
  <c r="F88" i="5"/>
  <c r="G88" i="5"/>
  <c r="H88" i="5"/>
  <c r="I88" i="5"/>
  <c r="J88" i="5"/>
  <c r="K88" i="5"/>
  <c r="V88" i="5"/>
  <c r="C87" i="5"/>
  <c r="D87" i="5"/>
  <c r="E87" i="5"/>
  <c r="F87" i="5"/>
  <c r="G87" i="5"/>
  <c r="H87" i="5"/>
  <c r="I87" i="5"/>
  <c r="J87" i="5"/>
  <c r="K87" i="5"/>
  <c r="V87" i="5"/>
  <c r="C86" i="5"/>
  <c r="D86" i="5"/>
  <c r="E86" i="5"/>
  <c r="F86" i="5"/>
  <c r="G86" i="5"/>
  <c r="H86" i="5"/>
  <c r="I86" i="5"/>
  <c r="J86" i="5"/>
  <c r="K86" i="5"/>
  <c r="V86" i="5"/>
  <c r="C85" i="5"/>
  <c r="D85" i="5"/>
  <c r="E85" i="5"/>
  <c r="F85" i="5"/>
  <c r="G85" i="5"/>
  <c r="H85" i="5"/>
  <c r="I85" i="5"/>
  <c r="J85" i="5"/>
  <c r="K85" i="5"/>
  <c r="V85" i="5"/>
  <c r="C84" i="5"/>
  <c r="D84" i="5"/>
  <c r="E84" i="5"/>
  <c r="F84" i="5"/>
  <c r="G84" i="5"/>
  <c r="H84" i="5"/>
  <c r="I84" i="5"/>
  <c r="J84" i="5"/>
  <c r="K84" i="5"/>
  <c r="V84" i="5"/>
  <c r="C83" i="5"/>
  <c r="D83" i="5"/>
  <c r="E83" i="5"/>
  <c r="F83" i="5"/>
  <c r="G83" i="5"/>
  <c r="H83" i="5"/>
  <c r="I83" i="5"/>
  <c r="J83" i="5"/>
  <c r="K83" i="5"/>
  <c r="V83" i="5"/>
  <c r="C82" i="5"/>
  <c r="D82" i="5"/>
  <c r="E82" i="5"/>
  <c r="F82" i="5"/>
  <c r="G82" i="5"/>
  <c r="H82" i="5"/>
  <c r="I82" i="5"/>
  <c r="J82" i="5"/>
  <c r="K82" i="5"/>
  <c r="V82" i="5"/>
  <c r="C81" i="5"/>
  <c r="D81" i="5"/>
  <c r="E81" i="5"/>
  <c r="F81" i="5"/>
  <c r="G81" i="5"/>
  <c r="H81" i="5"/>
  <c r="I81" i="5"/>
  <c r="J81" i="5"/>
  <c r="K81" i="5"/>
  <c r="V81" i="5"/>
  <c r="C80" i="5"/>
  <c r="D80" i="5"/>
  <c r="E80" i="5"/>
  <c r="F80" i="5"/>
  <c r="G80" i="5"/>
  <c r="H80" i="5"/>
  <c r="I80" i="5"/>
  <c r="J80" i="5"/>
  <c r="K80" i="5"/>
  <c r="V80" i="5"/>
  <c r="C79" i="5"/>
  <c r="D79" i="5"/>
  <c r="E79" i="5"/>
  <c r="F79" i="5"/>
  <c r="G79" i="5"/>
  <c r="H79" i="5"/>
  <c r="I79" i="5"/>
  <c r="J79" i="5"/>
  <c r="K79" i="5"/>
  <c r="V79" i="5"/>
  <c r="C78" i="5"/>
  <c r="D78" i="5"/>
  <c r="E78" i="5"/>
  <c r="F78" i="5"/>
  <c r="G78" i="5"/>
  <c r="H78" i="5"/>
  <c r="I78" i="5"/>
  <c r="J78" i="5"/>
  <c r="K78" i="5"/>
  <c r="V78" i="5"/>
  <c r="C77" i="5"/>
  <c r="D77" i="5"/>
  <c r="E77" i="5"/>
  <c r="F77" i="5"/>
  <c r="G77" i="5"/>
  <c r="H77" i="5"/>
  <c r="I77" i="5"/>
  <c r="J77" i="5"/>
  <c r="K77" i="5"/>
  <c r="V77" i="5"/>
  <c r="C76" i="5"/>
  <c r="D76" i="5"/>
  <c r="E76" i="5"/>
  <c r="F76" i="5"/>
  <c r="G76" i="5"/>
  <c r="H76" i="5"/>
  <c r="I76" i="5"/>
  <c r="J76" i="5"/>
  <c r="K76" i="5"/>
  <c r="V76" i="5"/>
  <c r="C75" i="5"/>
  <c r="D75" i="5"/>
  <c r="E75" i="5"/>
  <c r="F75" i="5"/>
  <c r="G75" i="5"/>
  <c r="H75" i="5"/>
  <c r="I75" i="5"/>
  <c r="J75" i="5"/>
  <c r="K75" i="5"/>
  <c r="V75" i="5"/>
  <c r="C74" i="5"/>
  <c r="D74" i="5"/>
  <c r="E74" i="5"/>
  <c r="F74" i="5"/>
  <c r="G74" i="5"/>
  <c r="H74" i="5"/>
  <c r="I74" i="5"/>
  <c r="J74" i="5"/>
  <c r="K74" i="5"/>
  <c r="V74" i="5"/>
  <c r="C73" i="5"/>
  <c r="D73" i="5"/>
  <c r="E73" i="5"/>
  <c r="F73" i="5"/>
  <c r="G73" i="5"/>
  <c r="H73" i="5"/>
  <c r="I73" i="5"/>
  <c r="J73" i="5"/>
  <c r="K73" i="5"/>
  <c r="V73" i="5"/>
  <c r="D72" i="5"/>
  <c r="E72" i="5"/>
  <c r="G72" i="5"/>
  <c r="I72" i="5"/>
  <c r="K72" i="5"/>
  <c r="C72" i="5"/>
  <c r="F72" i="5"/>
  <c r="H72" i="5"/>
  <c r="J72" i="5"/>
  <c r="V72" i="5"/>
  <c r="E71" i="5"/>
  <c r="G71" i="5"/>
  <c r="H71" i="5"/>
  <c r="J71" i="5"/>
  <c r="V71" i="5"/>
  <c r="C71" i="5"/>
  <c r="D71" i="5"/>
  <c r="F71" i="5"/>
  <c r="I71" i="5"/>
  <c r="K71" i="5"/>
  <c r="D70" i="5"/>
  <c r="G70" i="5"/>
  <c r="K70" i="5"/>
  <c r="C70" i="5"/>
  <c r="E70" i="5"/>
  <c r="F70" i="5"/>
  <c r="H70" i="5"/>
  <c r="I70" i="5"/>
  <c r="J70" i="5"/>
  <c r="V70" i="5"/>
  <c r="D69" i="5"/>
  <c r="F69" i="5"/>
  <c r="H69" i="5"/>
  <c r="J69" i="5"/>
  <c r="C69" i="5"/>
  <c r="E69" i="5"/>
  <c r="G69" i="5"/>
  <c r="I69" i="5"/>
  <c r="K69" i="5"/>
  <c r="V69" i="5"/>
  <c r="D68" i="5"/>
  <c r="F68" i="5"/>
  <c r="G68" i="5"/>
  <c r="I68" i="5"/>
  <c r="K68" i="5"/>
  <c r="V68" i="5"/>
  <c r="C68" i="5"/>
  <c r="E68" i="5"/>
  <c r="H68" i="5"/>
  <c r="J68" i="5"/>
  <c r="D67" i="5"/>
  <c r="F67" i="5"/>
  <c r="H67" i="5"/>
  <c r="J67" i="5"/>
  <c r="C67" i="5"/>
  <c r="E67" i="5"/>
  <c r="G67" i="5"/>
  <c r="I67" i="5"/>
  <c r="K67" i="5"/>
  <c r="V67" i="5"/>
  <c r="D66" i="5"/>
  <c r="F66" i="5"/>
  <c r="H66" i="5"/>
  <c r="J66" i="5"/>
  <c r="V66" i="5"/>
  <c r="C66" i="5"/>
  <c r="E66" i="5"/>
  <c r="G66" i="5"/>
  <c r="I66" i="5"/>
  <c r="K66" i="5"/>
  <c r="C65" i="5"/>
  <c r="E65" i="5"/>
  <c r="H65" i="5"/>
  <c r="J65" i="5"/>
  <c r="V65" i="5"/>
  <c r="D65" i="5"/>
  <c r="F65" i="5"/>
  <c r="G65" i="5"/>
  <c r="I65" i="5"/>
  <c r="K65" i="5"/>
  <c r="C64" i="5"/>
  <c r="D64" i="5"/>
  <c r="E64" i="5"/>
  <c r="F64" i="5"/>
  <c r="G64" i="5"/>
  <c r="H64" i="5"/>
  <c r="I64" i="5"/>
  <c r="J64" i="5"/>
  <c r="K64" i="5"/>
  <c r="V64" i="5"/>
  <c r="C63" i="5"/>
  <c r="D63" i="5"/>
  <c r="E63" i="5"/>
  <c r="F63" i="5"/>
  <c r="G63" i="5"/>
  <c r="H63" i="5"/>
  <c r="I63" i="5"/>
  <c r="J63" i="5"/>
  <c r="K63" i="5"/>
  <c r="V63" i="5"/>
  <c r="C62" i="5"/>
  <c r="D62" i="5"/>
  <c r="E62" i="5"/>
  <c r="F62" i="5"/>
  <c r="G62" i="5"/>
  <c r="H62" i="5"/>
  <c r="I62" i="5"/>
  <c r="J62" i="5"/>
  <c r="K62" i="5"/>
  <c r="V62" i="5"/>
  <c r="E61" i="5"/>
  <c r="H61" i="5"/>
  <c r="J61" i="5"/>
  <c r="C61" i="5"/>
  <c r="F61" i="5"/>
  <c r="V61" i="5"/>
  <c r="D61" i="5"/>
  <c r="G61" i="5"/>
  <c r="I61" i="5"/>
  <c r="K61" i="5"/>
  <c r="E60" i="5"/>
  <c r="H60" i="5"/>
  <c r="J60" i="5"/>
  <c r="C60" i="5"/>
  <c r="G60" i="5"/>
  <c r="I60" i="5"/>
  <c r="K60" i="5"/>
  <c r="V60" i="5"/>
  <c r="D60" i="5"/>
  <c r="F60" i="5"/>
  <c r="D59" i="5"/>
  <c r="I59" i="5"/>
  <c r="K59" i="5"/>
  <c r="E59" i="5"/>
  <c r="G59" i="5"/>
  <c r="J59" i="5"/>
  <c r="V59" i="5"/>
  <c r="C59" i="5"/>
  <c r="F59" i="5"/>
  <c r="H59" i="5"/>
  <c r="D58" i="5"/>
  <c r="I58" i="5"/>
  <c r="C58" i="5"/>
  <c r="F58" i="5"/>
  <c r="K58" i="5"/>
  <c r="E58" i="5"/>
  <c r="G58" i="5"/>
  <c r="H58" i="5"/>
  <c r="J58" i="5"/>
  <c r="V58" i="5"/>
  <c r="G57" i="5"/>
  <c r="J57" i="5"/>
  <c r="V57" i="5"/>
  <c r="D57" i="5"/>
  <c r="F57" i="5"/>
  <c r="I57" i="5"/>
  <c r="C57" i="5"/>
  <c r="E57" i="5"/>
  <c r="H57" i="5"/>
  <c r="K57" i="5"/>
  <c r="E56" i="5"/>
  <c r="G56" i="5"/>
  <c r="I56" i="5"/>
  <c r="C56" i="5"/>
  <c r="D56" i="5"/>
  <c r="F56" i="5"/>
  <c r="H56" i="5"/>
  <c r="K56" i="5"/>
  <c r="J56" i="5"/>
  <c r="V56" i="5"/>
  <c r="D55" i="5"/>
  <c r="F55" i="5"/>
  <c r="H55" i="5"/>
  <c r="J55" i="5"/>
  <c r="C55" i="5"/>
  <c r="E55" i="5"/>
  <c r="G55" i="5"/>
  <c r="I55" i="5"/>
  <c r="K55" i="5"/>
  <c r="V55" i="5"/>
  <c r="D54" i="5"/>
  <c r="F54" i="5"/>
  <c r="H54" i="5"/>
  <c r="K54" i="5"/>
  <c r="E54" i="5"/>
  <c r="G54" i="5"/>
  <c r="I54" i="5"/>
  <c r="J54" i="5"/>
  <c r="V54" i="5"/>
  <c r="C54" i="5"/>
  <c r="C53" i="5"/>
  <c r="D53" i="5"/>
  <c r="E53" i="5"/>
  <c r="H53" i="5"/>
  <c r="F53" i="5"/>
  <c r="G53" i="5"/>
  <c r="K53" i="5"/>
  <c r="V53" i="5"/>
  <c r="I53" i="5"/>
  <c r="J53" i="5"/>
  <c r="C52" i="5"/>
  <c r="D52" i="5"/>
  <c r="E52" i="5"/>
  <c r="F52" i="5"/>
  <c r="G52" i="5"/>
  <c r="H52" i="5"/>
  <c r="I52" i="5"/>
  <c r="J52" i="5"/>
  <c r="K52" i="5"/>
  <c r="V52" i="5"/>
  <c r="C51" i="5"/>
  <c r="D51" i="5"/>
  <c r="E51" i="5"/>
  <c r="F51" i="5"/>
  <c r="G51" i="5"/>
  <c r="H51" i="5"/>
  <c r="I51" i="5"/>
  <c r="J51" i="5"/>
  <c r="K51" i="5"/>
  <c r="V51" i="5"/>
  <c r="C50" i="5"/>
  <c r="D50" i="5"/>
  <c r="E50" i="5"/>
  <c r="F50" i="5"/>
  <c r="G50" i="5"/>
  <c r="H50" i="5"/>
  <c r="I50" i="5"/>
  <c r="J50" i="5"/>
  <c r="K50" i="5"/>
  <c r="V50" i="5"/>
  <c r="C49" i="5"/>
  <c r="D49" i="5"/>
  <c r="E49" i="5"/>
  <c r="F49" i="5"/>
  <c r="G49" i="5"/>
  <c r="H49" i="5"/>
  <c r="I49" i="5"/>
  <c r="J49" i="5"/>
  <c r="K49" i="5"/>
  <c r="V49" i="5"/>
  <c r="C48" i="5"/>
  <c r="D48" i="5"/>
  <c r="E48" i="5"/>
  <c r="F48" i="5"/>
  <c r="G48" i="5"/>
  <c r="H48" i="5"/>
  <c r="I48" i="5"/>
  <c r="J48" i="5"/>
  <c r="K48" i="5"/>
  <c r="V48" i="5"/>
  <c r="C47" i="5"/>
  <c r="D47" i="5"/>
  <c r="E47" i="5"/>
  <c r="F47" i="5"/>
  <c r="G47" i="5"/>
  <c r="H47" i="5"/>
  <c r="I47" i="5"/>
  <c r="J47" i="5"/>
  <c r="K47" i="5"/>
  <c r="V47" i="5"/>
  <c r="C46" i="5"/>
  <c r="D46" i="5"/>
  <c r="E46" i="5"/>
  <c r="F46" i="5"/>
  <c r="G46" i="5"/>
  <c r="H46" i="5"/>
  <c r="I46" i="5"/>
  <c r="J46" i="5"/>
  <c r="K46" i="5"/>
  <c r="V46" i="5"/>
  <c r="C45" i="5"/>
  <c r="D45" i="5"/>
  <c r="E45" i="5"/>
  <c r="F45" i="5"/>
  <c r="G45" i="5"/>
  <c r="H45" i="5"/>
  <c r="I45" i="5"/>
  <c r="J45" i="5"/>
  <c r="K45" i="5"/>
  <c r="V45" i="5"/>
  <c r="C44" i="5"/>
  <c r="D44" i="5"/>
  <c r="E44" i="5"/>
  <c r="F44" i="5"/>
  <c r="G44" i="5"/>
  <c r="H44" i="5"/>
  <c r="I44" i="5"/>
  <c r="J44" i="5"/>
  <c r="K44" i="5"/>
  <c r="V44" i="5"/>
  <c r="C43" i="5"/>
  <c r="D43" i="5"/>
  <c r="E43" i="5"/>
  <c r="F43" i="5"/>
  <c r="G43" i="5"/>
  <c r="H43" i="5"/>
  <c r="I43" i="5"/>
  <c r="J43" i="5"/>
  <c r="K43" i="5"/>
  <c r="V43" i="5"/>
  <c r="C42" i="5"/>
  <c r="D42" i="5"/>
  <c r="E42" i="5"/>
  <c r="F42" i="5"/>
  <c r="G42" i="5"/>
  <c r="H42" i="5"/>
  <c r="I42" i="5"/>
  <c r="J42" i="5"/>
  <c r="K42" i="5"/>
  <c r="V42" i="5"/>
  <c r="C41" i="5"/>
  <c r="D41" i="5"/>
  <c r="E41" i="5"/>
  <c r="F41" i="5"/>
  <c r="G41" i="5"/>
  <c r="H41" i="5"/>
  <c r="I41" i="5"/>
  <c r="J41" i="5"/>
  <c r="K41" i="5"/>
  <c r="V41" i="5"/>
  <c r="C40" i="5"/>
  <c r="D40" i="5"/>
  <c r="E40" i="5"/>
  <c r="F40" i="5"/>
  <c r="G40" i="5"/>
  <c r="H40" i="5"/>
  <c r="I40" i="5"/>
  <c r="J40" i="5"/>
  <c r="K40" i="5"/>
  <c r="V40" i="5"/>
  <c r="C39" i="5"/>
  <c r="D39" i="5"/>
  <c r="E39" i="5"/>
  <c r="F39" i="5"/>
  <c r="G39" i="5"/>
  <c r="H39" i="5"/>
  <c r="I39" i="5"/>
  <c r="J39" i="5"/>
  <c r="K39" i="5"/>
  <c r="V39" i="5"/>
  <c r="C38" i="5"/>
  <c r="D38" i="5"/>
  <c r="E38" i="5"/>
  <c r="F38" i="5"/>
  <c r="G38" i="5"/>
  <c r="H38" i="5"/>
  <c r="I38" i="5"/>
  <c r="J38" i="5"/>
  <c r="K38" i="5"/>
  <c r="V38" i="5"/>
  <c r="C37" i="5"/>
  <c r="D37" i="5"/>
  <c r="E37" i="5"/>
  <c r="F37" i="5"/>
  <c r="G37" i="5"/>
  <c r="H37" i="5"/>
  <c r="I37" i="5"/>
  <c r="J37" i="5"/>
  <c r="K37" i="5"/>
  <c r="V37" i="5"/>
  <c r="C36" i="5"/>
  <c r="D36" i="5"/>
  <c r="E36" i="5"/>
  <c r="F36" i="5"/>
  <c r="G36" i="5"/>
  <c r="H36" i="5"/>
  <c r="I36" i="5"/>
  <c r="J36" i="5"/>
  <c r="K36" i="5"/>
  <c r="V36" i="5"/>
  <c r="C35" i="5"/>
  <c r="D35" i="5"/>
  <c r="E35" i="5"/>
  <c r="F35" i="5"/>
  <c r="G35" i="5"/>
  <c r="H35" i="5"/>
  <c r="I35" i="5"/>
  <c r="J35" i="5"/>
  <c r="K35" i="5"/>
  <c r="V35" i="5"/>
  <c r="C34" i="5"/>
  <c r="D34" i="5"/>
  <c r="E34" i="5"/>
  <c r="F34" i="5"/>
  <c r="G34" i="5"/>
  <c r="H34" i="5"/>
  <c r="I34" i="5"/>
  <c r="J34" i="5"/>
  <c r="K34" i="5"/>
  <c r="V34" i="5"/>
  <c r="C33" i="5"/>
  <c r="D33" i="5"/>
  <c r="E33" i="5"/>
  <c r="F33" i="5"/>
  <c r="G33" i="5"/>
  <c r="H33" i="5"/>
  <c r="I33" i="5"/>
  <c r="J33" i="5"/>
  <c r="K33" i="5"/>
  <c r="V33" i="5"/>
  <c r="C32" i="5"/>
  <c r="D32" i="5"/>
  <c r="E32" i="5"/>
  <c r="F32" i="5"/>
  <c r="G32" i="5"/>
  <c r="H32" i="5"/>
  <c r="I32" i="5"/>
  <c r="J32" i="5"/>
  <c r="K32" i="5"/>
  <c r="V32" i="5"/>
  <c r="C31" i="5"/>
  <c r="D31" i="5"/>
  <c r="E31" i="5"/>
  <c r="F31" i="5"/>
  <c r="G31" i="5"/>
  <c r="H31" i="5"/>
  <c r="I31" i="5"/>
  <c r="J31" i="5"/>
  <c r="K31" i="5"/>
  <c r="V31" i="5"/>
  <c r="C30" i="5"/>
  <c r="D30" i="5"/>
  <c r="E30" i="5"/>
  <c r="F30" i="5"/>
  <c r="G30" i="5"/>
  <c r="H30" i="5"/>
  <c r="I30" i="5"/>
  <c r="J30" i="5"/>
  <c r="K30" i="5"/>
  <c r="V30" i="5"/>
  <c r="C29" i="5"/>
  <c r="D29" i="5"/>
  <c r="E29" i="5"/>
  <c r="F29" i="5"/>
  <c r="G29" i="5"/>
  <c r="H29" i="5"/>
  <c r="I29" i="5"/>
  <c r="J29" i="5"/>
  <c r="K29" i="5"/>
  <c r="V29" i="5"/>
  <c r="C28" i="5"/>
  <c r="D28" i="5"/>
  <c r="E28" i="5"/>
  <c r="F28" i="5"/>
  <c r="G28" i="5"/>
  <c r="H28" i="5"/>
  <c r="I28" i="5"/>
  <c r="J28" i="5"/>
  <c r="K28" i="5"/>
  <c r="V28" i="5"/>
  <c r="C27" i="5"/>
  <c r="D27" i="5"/>
  <c r="E27" i="5"/>
  <c r="F27" i="5"/>
  <c r="G27" i="5"/>
  <c r="H27" i="5"/>
  <c r="I27" i="5"/>
  <c r="J27" i="5"/>
  <c r="K27" i="5"/>
  <c r="V27" i="5"/>
  <c r="C26" i="5"/>
  <c r="D26" i="5"/>
  <c r="E26" i="5"/>
  <c r="F26" i="5"/>
  <c r="G26" i="5"/>
  <c r="H26" i="5"/>
  <c r="I26" i="5"/>
  <c r="J26" i="5"/>
  <c r="K26" i="5"/>
  <c r="V26" i="5"/>
  <c r="C25" i="5"/>
  <c r="D25" i="5"/>
  <c r="E25" i="5"/>
  <c r="F25" i="5"/>
  <c r="G25" i="5"/>
  <c r="H25" i="5"/>
  <c r="I25" i="5"/>
  <c r="J25" i="5"/>
  <c r="K25" i="5"/>
  <c r="V25" i="5"/>
  <c r="E43" i="7" s="1"/>
  <c r="C24" i="5"/>
  <c r="D24" i="5"/>
  <c r="E24" i="5"/>
  <c r="F24" i="5"/>
  <c r="G24" i="5"/>
  <c r="H24" i="5"/>
  <c r="I24" i="5"/>
  <c r="J24" i="5"/>
  <c r="K24" i="5"/>
  <c r="V24" i="5"/>
  <c r="C23" i="5"/>
  <c r="D23" i="5"/>
  <c r="E23" i="5"/>
  <c r="F23" i="5"/>
  <c r="G23" i="5"/>
  <c r="H23" i="5"/>
  <c r="I23" i="5"/>
  <c r="J23" i="5"/>
  <c r="K23" i="5"/>
  <c r="V23" i="5"/>
  <c r="E22" i="5"/>
  <c r="G22" i="5"/>
  <c r="I22" i="5"/>
  <c r="J22" i="5"/>
  <c r="K22" i="5"/>
  <c r="V22" i="5"/>
  <c r="C22" i="5"/>
  <c r="D22" i="5"/>
  <c r="F22" i="5"/>
  <c r="H22" i="5"/>
  <c r="D21" i="5"/>
  <c r="H21" i="5"/>
  <c r="J21" i="5"/>
  <c r="C21" i="5"/>
  <c r="E21" i="5"/>
  <c r="G21" i="5"/>
  <c r="I21" i="5"/>
  <c r="V21" i="5"/>
  <c r="F21" i="5"/>
  <c r="K21" i="5"/>
  <c r="F20" i="5"/>
  <c r="H20" i="5"/>
  <c r="C20" i="5"/>
  <c r="D20" i="5"/>
  <c r="I20" i="5"/>
  <c r="K20" i="5"/>
  <c r="E20" i="5"/>
  <c r="G20" i="5"/>
  <c r="J20" i="5"/>
  <c r="V20" i="5"/>
  <c r="E19" i="5"/>
  <c r="G19" i="5"/>
  <c r="J19" i="5"/>
  <c r="D19" i="5"/>
  <c r="F19" i="5"/>
  <c r="I19" i="5"/>
  <c r="V19" i="5"/>
  <c r="C19" i="5"/>
  <c r="H19" i="5"/>
  <c r="K19" i="5"/>
  <c r="E18" i="5"/>
  <c r="H18" i="5"/>
  <c r="J18" i="5"/>
  <c r="K18" i="5"/>
  <c r="D18" i="5"/>
  <c r="G18" i="5"/>
  <c r="C18" i="5"/>
  <c r="F18" i="5"/>
  <c r="I18" i="5"/>
  <c r="V18" i="5"/>
  <c r="E37" i="7" s="1"/>
  <c r="C17" i="5"/>
  <c r="D17" i="5"/>
  <c r="E17" i="5"/>
  <c r="F17" i="5"/>
  <c r="G17" i="5"/>
  <c r="H17" i="5"/>
  <c r="I17" i="5"/>
  <c r="J17" i="5"/>
  <c r="K17" i="5"/>
  <c r="V17" i="5"/>
  <c r="C16" i="5"/>
  <c r="D16" i="5"/>
  <c r="E16" i="5"/>
  <c r="F16" i="5"/>
  <c r="G16" i="5"/>
  <c r="H16" i="5"/>
  <c r="I16" i="5"/>
  <c r="J16" i="5"/>
  <c r="K16" i="5"/>
  <c r="V16" i="5"/>
  <c r="C15" i="5"/>
  <c r="D15" i="5"/>
  <c r="E15" i="5"/>
  <c r="F15" i="5"/>
  <c r="G15" i="5"/>
  <c r="H15" i="5"/>
  <c r="I15" i="5"/>
  <c r="J15" i="5"/>
  <c r="K15" i="5"/>
  <c r="V15" i="5"/>
  <c r="C14" i="5"/>
  <c r="D14" i="5"/>
  <c r="E14" i="5"/>
  <c r="F14" i="5"/>
  <c r="G14" i="5"/>
  <c r="H14" i="5"/>
  <c r="I14" i="5"/>
  <c r="J14" i="5"/>
  <c r="K14" i="5"/>
  <c r="V14" i="5"/>
  <c r="C13" i="5"/>
  <c r="D13" i="5"/>
  <c r="E13" i="5"/>
  <c r="F13" i="5"/>
  <c r="G13" i="5"/>
  <c r="H13" i="5"/>
  <c r="I13" i="5"/>
  <c r="J13" i="5"/>
  <c r="K13" i="5"/>
  <c r="V13" i="5"/>
  <c r="C12" i="5"/>
  <c r="D12" i="5"/>
  <c r="E12" i="5"/>
  <c r="F12" i="5"/>
  <c r="G12" i="5"/>
  <c r="H12" i="5"/>
  <c r="I12" i="5"/>
  <c r="J12" i="5"/>
  <c r="K12" i="5"/>
  <c r="V12" i="5"/>
  <c r="C11" i="5"/>
  <c r="D11" i="5"/>
  <c r="E11" i="5"/>
  <c r="F11" i="5"/>
  <c r="G11" i="5"/>
  <c r="H11" i="5"/>
  <c r="I11" i="5"/>
  <c r="J11" i="5"/>
  <c r="K11" i="5"/>
  <c r="V11" i="5"/>
  <c r="C10" i="5"/>
  <c r="D10" i="5"/>
  <c r="E10" i="5"/>
  <c r="F10" i="5"/>
  <c r="G10" i="5"/>
  <c r="H10" i="5"/>
  <c r="I10" i="5"/>
  <c r="J10" i="5"/>
  <c r="K10" i="5"/>
  <c r="V10" i="5"/>
  <c r="C9" i="5"/>
  <c r="D9" i="5"/>
  <c r="E9" i="5"/>
  <c r="F9" i="5"/>
  <c r="G9" i="5"/>
  <c r="H9" i="5"/>
  <c r="I9" i="5"/>
  <c r="J9" i="5"/>
  <c r="K9" i="5"/>
  <c r="V9" i="5"/>
  <c r="E36" i="7" s="1"/>
  <c r="F8" i="5"/>
  <c r="J8" i="5"/>
  <c r="D8" i="5"/>
  <c r="H8" i="5"/>
  <c r="C8" i="5"/>
  <c r="G8" i="5"/>
  <c r="I8" i="5"/>
  <c r="K8" i="5"/>
  <c r="V8" i="5"/>
  <c r="E8" i="5"/>
  <c r="V7" i="5"/>
  <c r="D7" i="5"/>
  <c r="K7" i="5"/>
  <c r="F7" i="5"/>
  <c r="H7" i="5"/>
  <c r="J7" i="5"/>
  <c r="C7" i="5"/>
  <c r="E7" i="5"/>
  <c r="G7" i="5"/>
  <c r="I7" i="5"/>
  <c r="C6" i="5"/>
  <c r="K6" i="5"/>
  <c r="F6" i="5"/>
  <c r="I6" i="5"/>
  <c r="V6" i="5"/>
  <c r="D6" i="5"/>
  <c r="E6" i="5"/>
  <c r="G6" i="5"/>
  <c r="H6" i="5"/>
  <c r="J6" i="5"/>
  <c r="C5" i="5"/>
  <c r="D5" i="5"/>
  <c r="E5" i="5"/>
  <c r="F5" i="5"/>
  <c r="G5" i="5"/>
  <c r="H5" i="5"/>
  <c r="I5" i="5"/>
  <c r="J5" i="5"/>
  <c r="K5" i="5"/>
  <c r="V5" i="5"/>
  <c r="C4" i="5"/>
  <c r="D4" i="5"/>
  <c r="E4" i="5"/>
  <c r="F4" i="5"/>
  <c r="G4" i="5"/>
  <c r="H4" i="5"/>
  <c r="I4" i="5"/>
  <c r="J4" i="5"/>
  <c r="K4" i="5"/>
  <c r="V4" i="5"/>
  <c r="D9" i="7"/>
  <c r="F9" i="7"/>
  <c r="V51" i="4"/>
  <c r="C32" i="7"/>
  <c r="V4" i="4"/>
  <c r="B9" i="7"/>
  <c r="C31" i="7"/>
  <c r="C30" i="7"/>
  <c r="C29" i="7"/>
  <c r="V156" i="4"/>
  <c r="V144" i="4"/>
  <c r="V142" i="4"/>
  <c r="V132" i="4"/>
  <c r="V121" i="4"/>
  <c r="V86" i="4"/>
  <c r="V81" i="4"/>
  <c r="V77" i="4"/>
  <c r="V73" i="4"/>
  <c r="V69" i="4"/>
  <c r="V65" i="4"/>
  <c r="V60" i="4"/>
  <c r="V28" i="4"/>
  <c r="V15" i="4"/>
  <c r="V11" i="4"/>
  <c r="V164" i="4"/>
  <c r="I164" i="5"/>
  <c r="V162" i="4"/>
  <c r="I162" i="5"/>
  <c r="V160" i="4"/>
  <c r="I160" i="5"/>
  <c r="F29" i="7" l="1"/>
  <c r="F30" i="7"/>
  <c r="E31" i="7"/>
  <c r="E32" i="7"/>
  <c r="G32" i="7"/>
  <c r="G29" i="7"/>
  <c r="H31" i="7"/>
  <c r="H30" i="7"/>
  <c r="D30" i="7"/>
  <c r="F31" i="7"/>
  <c r="E30" i="7"/>
  <c r="G30" i="7"/>
  <c r="G31" i="7"/>
  <c r="D32" i="7"/>
  <c r="F32" i="7"/>
  <c r="H32" i="7"/>
  <c r="D29" i="7"/>
  <c r="E29" i="7"/>
  <c r="H29" i="7"/>
  <c r="D31" i="7"/>
  <c r="H9" i="7"/>
  <c r="E42" i="7"/>
  <c r="D48" i="7"/>
  <c r="E49" i="7"/>
  <c r="E50" i="7"/>
  <c r="E51" i="7"/>
  <c r="D52" i="7"/>
  <c r="E53" i="7"/>
  <c r="D54" i="7"/>
  <c r="D55" i="7"/>
  <c r="C56" i="7"/>
  <c r="H56" i="7"/>
  <c r="G57" i="7"/>
  <c r="E61" i="7"/>
  <c r="G55" i="7"/>
  <c r="F59" i="7"/>
  <c r="C49" i="7"/>
  <c r="H49" i="7"/>
  <c r="G50" i="7"/>
  <c r="G51" i="7"/>
  <c r="G52" i="7"/>
  <c r="G53" i="7"/>
  <c r="F54" i="7"/>
  <c r="F55" i="7"/>
  <c r="F56" i="7"/>
  <c r="C57" i="7"/>
  <c r="F57" i="7"/>
  <c r="E58" i="7"/>
  <c r="C60" i="7"/>
  <c r="F60" i="7"/>
  <c r="D59" i="7"/>
  <c r="G48" i="7"/>
  <c r="F49" i="7"/>
  <c r="F50" i="7"/>
  <c r="F51" i="7"/>
  <c r="F52" i="7"/>
  <c r="D53" i="7"/>
  <c r="C54" i="7"/>
  <c r="C55" i="7"/>
  <c r="G56" i="7"/>
  <c r="D58" i="7"/>
  <c r="E60" i="7"/>
  <c r="C48" i="7"/>
  <c r="D57" i="7"/>
  <c r="E59" i="7"/>
  <c r="E54" i="7"/>
  <c r="H61" i="7"/>
  <c r="H60" i="7"/>
  <c r="H52" i="7"/>
  <c r="F58" i="7"/>
  <c r="H54" i="7"/>
  <c r="D56" i="7"/>
  <c r="H57" i="7"/>
  <c r="H58" i="7"/>
  <c r="F53" i="7"/>
  <c r="G58" i="7"/>
  <c r="G59" i="7"/>
  <c r="H55" i="7"/>
  <c r="G60" i="7"/>
  <c r="E48" i="7"/>
  <c r="D49" i="7"/>
  <c r="D50" i="7"/>
  <c r="D51" i="7"/>
  <c r="C52" i="7"/>
  <c r="G54" i="7"/>
  <c r="D61" i="7"/>
  <c r="C61" i="7"/>
  <c r="F48" i="7"/>
  <c r="G49" i="7"/>
  <c r="C51" i="7"/>
  <c r="E52" i="7"/>
  <c r="E57" i="7"/>
  <c r="C59" i="7"/>
  <c r="H59" i="7"/>
  <c r="F61" i="7"/>
  <c r="H48" i="7"/>
  <c r="C50" i="7"/>
  <c r="H50" i="7"/>
  <c r="H51" i="7"/>
  <c r="C53" i="7"/>
  <c r="H53" i="7"/>
  <c r="E55" i="7"/>
  <c r="E56" i="7"/>
  <c r="C58" i="7"/>
  <c r="G61" i="7"/>
  <c r="D60" i="7"/>
  <c r="E40" i="7"/>
  <c r="E44" i="7"/>
  <c r="E39" i="7"/>
  <c r="E38" i="7"/>
  <c r="E41" i="7"/>
</calcChain>
</file>

<file path=xl/sharedStrings.xml><?xml version="1.0" encoding="utf-8"?>
<sst xmlns="http://schemas.openxmlformats.org/spreadsheetml/2006/main" count="3219" uniqueCount="767">
  <si>
    <t>نظام تحليل الفجوة والتدقيق الداخلي</t>
  </si>
  <si>
    <t>Gap Analysis &amp; Internal Audit System</t>
  </si>
  <si>
    <t>تقييم ديناميكي لكل بنود المواصفات الأربع لتجربة العميل — يُرحّل الفجوات تلقائياً إلى خطة المعالجة</t>
  </si>
  <si>
    <t>أمانة محافظة الريادة — منظمة افتراضية بالكامل لأغراض العرض والتدريب</t>
  </si>
  <si>
    <t>رمز الوثيقة</t>
  </si>
  <si>
    <t>IMT-ISE-IM-TMP-001 v1.0</t>
  </si>
  <si>
    <t>إجمالي البنود المقيَّمة</t>
  </si>
  <si>
    <t>161 بنداً وملحقاً عبر أربع مواصفات</t>
  </si>
  <si>
    <t>ISO 23592:2021</t>
  </si>
  <si>
    <t>16 بنداً — التميز في الخدمات: المبادئ والنموذج</t>
  </si>
  <si>
    <t>ISO 10001:2018</t>
  </si>
  <si>
    <t>42 بنداً — رضا العميل: إرشادات مدونات السلوك</t>
  </si>
  <si>
    <t>ISO 10002:2018</t>
  </si>
  <si>
    <t>52 بنداً — رضا العميل: إرشادات معالجة الشكاوى</t>
  </si>
  <si>
    <t>ISO 10004:2018</t>
  </si>
  <si>
    <t>51 بنداً — رضا العميل: إرشادات المراقبة والقياس</t>
  </si>
  <si>
    <t>أوراق المصنف</t>
  </si>
  <si>
    <t>دليل الاستخدام · القوائم · تحليل الفجوة · التخطيط والتنفيذ · سجل الأدلة · لوحة البيانات</t>
  </si>
  <si>
    <t>قاعدة التشغيل</t>
  </si>
  <si>
    <t>أي بند يُوسَم «غير مطبق» أو «مطبق جزئياً» أو تُرصد عليه عدم مطابقة يظهر فوراً في ورقة التخطيط والتنفيذ</t>
  </si>
  <si>
    <t>العلامة التجارية</t>
  </si>
  <si>
    <t>امتثال · Imtithal — imtithal.store</t>
  </si>
  <si>
    <t>تنبيه مرجعي ملزم: المواصفات الأربع التي يقيس عليها هذا النظام إرشادية بطبيعتها (مبادئ ونماذج وإرشادات)، وليست مواصفات متطلبات قابلة للشهادة على غرار ISO 9001. ولذلك فإن مخرَج هذا النظام تقييم ذاتي لمدى المواءمة وتدقيق داخلي للأثر — وليس تقييم مطابقة ولا يُبنى عليه ادعاء شهادة. ومصطلحا «عدم مطابقة كبرى/صغرى» يُستخدمان هنا بمعناهما في التدقيق الداخلي للجهة.</t>
  </si>
  <si>
    <t>مفتاح الألوان في هذا المصنف: الأخضر = ضمن المستهدف · الأحمر = مخالف أو حرج · الكهرماني = يحتاج متابعة · الأزرق والبنفسجي والفيروزي = تصنيفات محايدة يميز اللون بينها. كل عمود ذي قيم مغلقة مزوَّد بقائمة منسدلة، ولا تُقبل فيه قيمة خارجها.</t>
  </si>
  <si>
    <t>دليل استخدام النظام — اقرأ هذه الورقة قبل الإدخال</t>
  </si>
  <si>
    <t>ست خطوات مرتبة. لا تُدخل بيانات الخطة قبل استكمال ورقة تحليل الفجوة.</t>
  </si>
  <si>
    <t>الخطوة 1 — اضبط القوائم</t>
  </si>
  <si>
    <t>افتح ورقة «القوائم» وعدّل أسماء الإدارات والمسؤولين والمدققين لتطابق جهتك. كل القوائم المنسدلة في المصنف تقرأ من هذه الورقة، فتعديلها هنا يسري على كل الأوراق تلقائياً.</t>
  </si>
  <si>
    <t>الخطوة 2 — قيّم كل بند</t>
  </si>
  <si>
    <t>في ورقة «تحليل الفجوة»، لكل صف: اقرأ «سؤال التقييم» ثم اختر «حالة التطبيق» من القائمة المنسدلة (مطبق كلياً / مطبق جزئياً / غير مطبق / لا ينطبق). العمودان «نسبة التطبيق» و«أولوية المعالجة» يُحتسبان تلقائياً — لا تكتب فيهما.</t>
  </si>
  <si>
    <t>الخطوة 3 — اكتب الدليل الموضوعي</t>
  </si>
  <si>
    <t>لا تُوسم حالة دون دليل. اكتب في «الدليل الموضوعي» ما رأيته فعلاً (اسم الوثيقة، رقم السجل، لقطة النظام)، وحدد «مصدر الدليل». التقييم بلا دليل يُسقط قيمة النظام كله.</t>
  </si>
  <si>
    <t>الخطوة 4 — سجّل نتيجة التدقيق</t>
  </si>
  <si>
    <t>بعد التقييم الذاتي، يمرّ المدقق الداخلي على البنود ويسجّل «نتيجة التدقيق». هذا عمود مستقل عن حالة التطبيق عمداً: قد يكون البند «مطبق كلياً» وعليه ملاحظة، وقد يكون «مطبق جزئياً» بلا مخالفة.</t>
  </si>
  <si>
    <t>الخطوة 5 — افتح ورقة التخطيط والتنفيذ</t>
  </si>
  <si>
    <t>كل بند تحقق فيه إحدى الحالات الثلاث — غير مطبق، أو مطبق جزئياً، أو عدم مطابقة (كبرى أو صغرى) — يظهر في ورقة «التخطيط والتنفيذ» تلقائياً في العمود «مُدرَج في الخطة = نعم»، ومعه بياناته كاملة منقولة بالمعادلات. أنت تُكمل الأعمدة البيضاء فقط: إجراء المعالجة، نوع الإجراء، الإدارة المسؤولة، المسؤول، التواريخ، حالة التنفيذ، ونسبة الإنجاز.</t>
  </si>
  <si>
    <t>الخطوة 6 — اقرأ لوحة البيانات</t>
  </si>
  <si>
    <t>لوحة البيانات تُحدَّث ذاتياً من الورقتين. اقرأها في مراجعة الإدارة: نسبة التطبيق لكل مواصفة، توزيع نتائج التدقيق، حالة الخطة، وأعلى الفجوات الحرجة.</t>
  </si>
  <si>
    <t>•</t>
  </si>
  <si>
    <t>كيف يعمل الترحيل التلقائي؟</t>
  </si>
  <si>
    <t>ورقة «التخطيط والتنفيذ» تحمل صفاً ثابتاً لكل بند من البنود الـ161 بالترتيب نفسه، والعمود «مُدرَج في الخطة» يُحتسب بمعادلة. الصفوف غير المُدرَجة تظهر رمادية وفارغة. ثبات الصفوف مقصود: لو غيّرت تقييم بند بعد شهور، لا تختل محاذاة بيانات الخطة التي أدخلتها — وهو ما يحدث في القوائم المتحركة. لعرض بنود الخطة وحدها: صفّ العمود B على «نعم».</t>
  </si>
  <si>
    <t>لماذا لا يوجد ماكرو؟</t>
  </si>
  <si>
    <t>المصنف بصيغة xlsx بلا ماكرو ليعمل في الجهات التي تحظر الماكرو، وعلى Excel Online وعلى الجوال. كل الربط بمعادلات متوافقة مع Excel 2007 فما فوق.</t>
  </si>
  <si>
    <t>الأعمدة المحسوبة — لا تكتب فيها</t>
  </si>
  <si>
    <t>في «تحليل الفجوة»: نسبة التطبيق · يُرحّل للخطة · مصدر الإدراج · أولوية المعالجة. وفي «التخطيط والتنفيذ»: الأعمدة من A إلى K والعمود الأخير «الحالة الزمنية». الكتابة فوقها تكسر الترابط.</t>
  </si>
  <si>
    <t>قاعدة الأولوية المحتسبة</t>
  </si>
  <si>
    <t>حرجة = عدم مطابقة كبرى، أو بند عالي الأهمية غير مطبق. عالية = عدم مطابقة صغرى، أو بند عالي الأهمية مطبق جزئياً، أو متوسط الأهمية غير مطبق. منخفضة = بند منخفض الأهمية. وما عدا ذلك متوسطة.</t>
  </si>
  <si>
    <t>البيانات المرفقة</t>
  </si>
  <si>
    <t>المصنف يصل ممتلئاً ببيانات أمانة محافظة الريادة — منظمة افتراضية بالكامل — لتراه وهو يعمل. قبل الاستخدام الفعلي: امسح الأعمدة المدخَلة يدوياً في ورقتي التحليل والتخطيط واحتفظ بالأعمدة المحسوبة كما هي.</t>
  </si>
  <si>
    <t>قوائم النظام المرجعية — مصدر كل القوائم المنسدلة</t>
  </si>
  <si>
    <t>عدّل ما تحته خط أزرق ليطابق جهتك؛ ولا تحذف صفوفاً من القوائم الأربع الأولى فهي محكومة بالمنهجية.</t>
  </si>
  <si>
    <t>حالة التطبيق</t>
  </si>
  <si>
    <t>نتيجة التدقيق</t>
  </si>
  <si>
    <t>أهمية البند</t>
  </si>
  <si>
    <t>أولوية المعالجة</t>
  </si>
  <si>
    <t>مصدر الدليل</t>
  </si>
  <si>
    <t>نوع الإجراء</t>
  </si>
  <si>
    <t>الإدارة المسؤولة</t>
  </si>
  <si>
    <t>المسؤول المكلَّف</t>
  </si>
  <si>
    <t>حالة التنفيذ</t>
  </si>
  <si>
    <t>التحقق من الفعالية</t>
  </si>
  <si>
    <t>حالة الدليل</t>
  </si>
  <si>
    <t>مطبق كلياً</t>
  </si>
  <si>
    <t>مطابق</t>
  </si>
  <si>
    <t>عالية</t>
  </si>
  <si>
    <t>حرجة</t>
  </si>
  <si>
    <t>وثيقة</t>
  </si>
  <si>
    <t>إجراء تصحيحي</t>
  </si>
  <si>
    <t>إدارة التطوير المؤسسي</t>
  </si>
  <si>
    <t>م. سارة الحربي</t>
  </si>
  <si>
    <t>لم يبدأ</t>
  </si>
  <si>
    <t>لم يُتحقق</t>
  </si>
  <si>
    <t>مقبول</t>
  </si>
  <si>
    <t>مطبق جزئياً</t>
  </si>
  <si>
    <t>عدم مطابقة كبرى</t>
  </si>
  <si>
    <t>متوسطة</t>
  </si>
  <si>
    <t>سجل</t>
  </si>
  <si>
    <t>بناء وثيقة</t>
  </si>
  <si>
    <t>إدارة الجودة والتميز</t>
  </si>
  <si>
    <t>أ. خالد العتيبي</t>
  </si>
  <si>
    <t>جارٍ التنفيذ</t>
  </si>
  <si>
    <t>قيد المتابعة</t>
  </si>
  <si>
    <t>غير كافٍ</t>
  </si>
  <si>
    <t>غير مطبق</t>
  </si>
  <si>
    <t>عدم مطابقة صغرى</t>
  </si>
  <si>
    <t>منخفضة</t>
  </si>
  <si>
    <t>مقابلة</t>
  </si>
  <si>
    <t>تعديل وثيقة</t>
  </si>
  <si>
    <t>إدارة خدمة المستفيدين</t>
  </si>
  <si>
    <t>أ. نورة الشمري</t>
  </si>
  <si>
    <t>مكتمل</t>
  </si>
  <si>
    <t>فعّال</t>
  </si>
  <si>
    <t>يحتاج تحديثاً</t>
  </si>
  <si>
    <t>لا ينطبق</t>
  </si>
  <si>
    <t>ملاحظة</t>
  </si>
  <si>
    <t>معاينة ميدانية</t>
  </si>
  <si>
    <t>تدريب وتوعية</t>
  </si>
  <si>
    <t>إدارة الشكاوى والتظلمات</t>
  </si>
  <si>
    <t>م. فيصل الدوسري</t>
  </si>
  <si>
    <t>متوقف</t>
  </si>
  <si>
    <t>غير فعّال</t>
  </si>
  <si>
    <t>لم يُقيَّم</t>
  </si>
  <si>
    <t>فرصة تحسين</t>
  </si>
  <si>
    <t>نظام إلكتروني</t>
  </si>
  <si>
    <t>تعديل نظام إلكتروني</t>
  </si>
  <si>
    <t>إدارة التحول الرقمي</t>
  </si>
  <si>
    <t>أ. ريم القحطاني</t>
  </si>
  <si>
    <t>مؤجل</t>
  </si>
  <si>
    <t>لم يُدقق</t>
  </si>
  <si>
    <t>لا يوجد</t>
  </si>
  <si>
    <t>تحسين مستمر</t>
  </si>
  <si>
    <t>إدارة الاتصال المؤسسي</t>
  </si>
  <si>
    <t>م. عبدالله الزهراني</t>
  </si>
  <si>
    <t>إدارة الموارد البشرية</t>
  </si>
  <si>
    <t>إدارة التخطيط والأداء</t>
  </si>
  <si>
    <t>إدارة المراجعة الداخلية</t>
  </si>
  <si>
    <t>ملاحظة: الأعمدة الأربعة الأولى (حالة التطبيق · نتيجة التدقيق · أهمية البند · أولوية المعالجة) محكومة بمنهجية التقييم وترتبط بها معادلات الاحتساب والترحيل — تغيير نصوصها يُبطل الأعمدة المحسوبة في كل الأوراق. أما بقية القوائم فمفتوحة للتخصيص بحرية حسب هيكل جهتك.</t>
  </si>
  <si>
    <t>تحليل الفجوة والتدقيق الداخلي — كل بنود المواصفات الأربع</t>
  </si>
  <si>
    <t>الأعمدة الملوّنة رمادياً محسوبة تلقائياً. اختر «حالة التطبيق» و«نتيجة التدقيق» من القوائم المنسدلة، واكتب الدليل الموضوعي — والباقي يُحتسب ويُرحَّل وحده.</t>
  </si>
  <si>
    <t>#</t>
  </si>
  <si>
    <t>المواصفة</t>
  </si>
  <si>
    <t>البند</t>
  </si>
  <si>
    <t>عنوان البند (عربي)</t>
  </si>
  <si>
    <t>عنوان البند (EN)</t>
  </si>
  <si>
    <t>نوع البند</t>
  </si>
  <si>
    <t>سؤال التقييم</t>
  </si>
  <si>
    <t>الوثيقة المرجعية في النظام</t>
  </si>
  <si>
    <t>نسبة التطبيق %</t>
  </si>
  <si>
    <t>الدليل الموضوعي</t>
  </si>
  <si>
    <t>ملاحظة المدقق / وصف الفجوة</t>
  </si>
  <si>
    <t>المدقق</t>
  </si>
  <si>
    <t>تاريخ التقييم</t>
  </si>
  <si>
    <t>يُرحّل للخطة</t>
  </si>
  <si>
    <t>مصدر الإدراج</t>
  </si>
  <si>
    <t>مفتاح البند</t>
  </si>
  <si>
    <t>ترتيب الحرج</t>
  </si>
  <si>
    <t>المقدمة</t>
  </si>
  <si>
    <t>المقدمة — هرم التميز في الخدمات وسلسلة الأثر</t>
  </si>
  <si>
    <t>Introduction — service excellence pyramid and effect chain</t>
  </si>
  <si>
    <t>مفهوم</t>
  </si>
  <si>
    <t>هل استوعبت القيادة وفريق العمل مفهوم «المقدمة — هرم التميز في الخدمات وسلسلة الأثر» وانعكس في التوجه المعتمد؟</t>
  </si>
  <si>
    <t>IMT-ISE-CR-MAN-001</t>
  </si>
  <si>
    <t>الإجراء مطبق في قناة واحدة ولم يُعمَّم على باقي القنوات</t>
  </si>
  <si>
    <t>الدورية غير منضبطة ولا يوجد تذكير أو مالك للمتابعة</t>
  </si>
  <si>
    <t>1</t>
  </si>
  <si>
    <t>النطاق</t>
  </si>
  <si>
    <t>Scope</t>
  </si>
  <si>
    <t>نطاق ومراجع</t>
  </si>
  <si>
    <t>بند مرجعي — يُوثَّق ضمن نطاق النظام ومراجعه ولا يخضع لتقييم تطبيق.</t>
  </si>
  <si>
    <t>بند مرجعي أو خارج نطاق النظام المعتمد للجهة</t>
  </si>
  <si>
    <t>بند مرجعي لا يخضع للتقييم</t>
  </si>
  <si>
    <t>2</t>
  </si>
  <si>
    <t>المراجع التقييسية</t>
  </si>
  <si>
    <t>Normative references</t>
  </si>
  <si>
    <t>3</t>
  </si>
  <si>
    <t>المصطلحات والتعريفات</t>
  </si>
  <si>
    <t>Terms and definitions</t>
  </si>
  <si>
    <t>تعريفات</t>
  </si>
  <si>
    <t>هل اعتمدت الجهة تعريفات موحدة لـ«المصطلحات والتعريفات» في قاموس مصطلحاتها ويستخدمها الجميع؟</t>
  </si>
  <si>
    <t>IMT-ISE-CR-GLS-001</t>
  </si>
  <si>
    <t>النظام الإلكتروني يسجل البيانات تلقائياً والتقارير متاحة</t>
  </si>
  <si>
    <t>مطابق — لا ملاحظات</t>
  </si>
  <si>
    <t>4</t>
  </si>
  <si>
    <t>أهمية التميز في الخدمات وفوائده</t>
  </si>
  <si>
    <t>Relevance and benefits of service excellence</t>
  </si>
  <si>
    <t>هل استوعبت القيادة وفريق العمل مفهوم «أهمية التميز في الخدمات وفوائده» وانعكس في التوجه المعتمد؟</t>
  </si>
  <si>
    <t>IMT-ISE-SE-PRS-001</t>
  </si>
  <si>
    <t>الوثيقة معتمدة ومنشورة والسجل المرتبط ممتلئ لثلاث دورات</t>
  </si>
  <si>
    <t>فرصة تحسين مقترحة دون مخالفة</t>
  </si>
  <si>
    <t>5</t>
  </si>
  <si>
    <t>مبادئ التميز في الخدمات (سبعة مبادئ)</t>
  </si>
  <si>
    <t>Principles of service excellence</t>
  </si>
  <si>
    <t>مبدأ توجيهي</t>
  </si>
  <si>
    <t>هل يظهر «مبادئ التميز في الخدمات (سبعة مبادئ)» في وثائق الجهة وممارساتها اليومية بدليل موضوعي؟</t>
  </si>
  <si>
    <t>IMT-ISE-CR-CHT-001</t>
  </si>
  <si>
    <t>التدريب نُفِّذ لفريق واحد ولم يشمل الخط الأمامي</t>
  </si>
  <si>
    <t>الوثيقة موجودة والسجل غير مفعَّل — الفجوة في التشغيل لا في التوثيق</t>
  </si>
  <si>
    <t>6</t>
  </si>
  <si>
    <t>نموذج التميز في الخدمات (أربعة أبعاد وتسعة عناصر)</t>
  </si>
  <si>
    <t>Service excellence model</t>
  </si>
  <si>
    <t>إطار</t>
  </si>
  <si>
    <t>هل اعتمدت الجهة «نموذج التميز في الخدمات (أربعة أبعاد وتسعة عناصر)» وتستخدمه فعلياً في التقييم والتخطيط لا شكلياً؟</t>
  </si>
  <si>
    <t>الإجراء مطبق ومُدقق داخلياً ولم تُرصد مخالفات</t>
  </si>
  <si>
    <t>7.1.1</t>
  </si>
  <si>
    <t>رؤية ورسالة واستراتيجية التميز في الخدمات</t>
  </si>
  <si>
    <t>Service excellence vision, mission and strategy</t>
  </si>
  <si>
    <t>تشغيل</t>
  </si>
  <si>
    <t>هل تُنفَّذ «رؤية ورسالة واستراتيجية التميز في الخدمات» وفق إجراء موثَّق محدد الأدوار والمُدد والسجلات؟</t>
  </si>
  <si>
    <t>IMT-ISE-CR-POL-001</t>
  </si>
  <si>
    <t>المسؤولية غير معرَّفة وتُمارس بشكل غير موثَّق</t>
  </si>
  <si>
    <t>لا يوجد مصدر قياس يسمح بإثبات التطبيق</t>
  </si>
  <si>
    <t>7.1.2</t>
  </si>
  <si>
    <t>متطلبات القيادة والإدارة</t>
  </si>
  <si>
    <t>Leadership and management requirements</t>
  </si>
  <si>
    <t>هل تُنفَّذ «متطلبات القيادة والإدارة» وفق إجراء موثَّق محدد الأدوار والمُدد والسجلات؟</t>
  </si>
  <si>
    <t>7.2.1</t>
  </si>
  <si>
    <t>ثقافة التميز في الخدمات</t>
  </si>
  <si>
    <t>Service excellence culture</t>
  </si>
  <si>
    <t>هل تُنفَّذ «ثقافة التميز في الخدمات» وفق إجراء موثَّق محدد الأدوار والمُدد والسجلات؟</t>
  </si>
  <si>
    <t>IMT-ISE-SE-PRO-001</t>
  </si>
  <si>
    <t>المخرج موجود لكن دوريته غير منتظمة ولا يُراجَع</t>
  </si>
  <si>
    <t>7.2.2</t>
  </si>
  <si>
    <t>إشراك الموظفين</t>
  </si>
  <si>
    <t>Employee engagement</t>
  </si>
  <si>
    <t>هل تُنفَّذ «إشراك الموظفين» وفق إجراء موثَّق محدد الأدوار والمُدد والسجلات؟</t>
  </si>
  <si>
    <t>7.3.1</t>
  </si>
  <si>
    <t>فهم احتياجات المستفيدين وتوقعاتهم ورغباتهم</t>
  </si>
  <si>
    <t>Understanding customer needs, expectations and desires</t>
  </si>
  <si>
    <t>هل تُنفَّذ «فهم احتياجات المستفيدين وتوقعاتهم ورغباتهم» وفق إجراء موثَّق محدد الأدوار والمُدد والسجلات؟</t>
  </si>
  <si>
    <t>IMT-ISE-SE-PRO-002</t>
  </si>
  <si>
    <t>البند غير مدرج في أي إجراء معتمد لدى الجهة</t>
  </si>
  <si>
    <t>7.3.2</t>
  </si>
  <si>
    <t>تصميم وتجديد تجارب المستفيدين الاستثنائية</t>
  </si>
  <si>
    <t>Designing and renewing outstanding customer experiences</t>
  </si>
  <si>
    <t>هل تُنفَّذ «تصميم وتجديد تجارب المستفيدين الاستثنائية» وفق إجراء موثَّق محدد الأدوار والمُدد والسجلات؟</t>
  </si>
  <si>
    <t>IMT-ISE-SE-PRO-003</t>
  </si>
  <si>
    <t>الوثيقة معتمدة لكن السجل غير مكتمل التعبئة</t>
  </si>
  <si>
    <t>المخرج لا يُغذّي أي قرار حالياً — يُنتج ثم يُحفظ</t>
  </si>
  <si>
    <t>7.3.3</t>
  </si>
  <si>
    <t>إدارة الابتكار الخدمي</t>
  </si>
  <si>
    <t>Service innovation management</t>
  </si>
  <si>
    <t>هل تُنفَّذ «إدارة الابتكار الخدمي» وفق إجراء موثَّق محدد الأدوار والمُدد والسجلات؟</t>
  </si>
  <si>
    <t>IMT-ISE-SE-PRO-004</t>
  </si>
  <si>
    <t>7.4.1</t>
  </si>
  <si>
    <t>إدارة العمليات الكفؤة والفعالة المرتبطة بتجربة المستفيد والهيكل التنظيمي</t>
  </si>
  <si>
    <t>Managing customer-experience-related efficient and effective processes and organizational structure</t>
  </si>
  <si>
    <t>هل تُنفَّذ «إدارة العمليات الكفؤة والفعالة المرتبطة بتجربة المستفيد والهيكل التنظيمي» وفق إجراء موثَّق محدد الأدوار والمُدد والسجلات؟</t>
  </si>
  <si>
    <t>IMT-ISE-SE-PRO-005</t>
  </si>
  <si>
    <t>التطبيق يعتمد على اجتهاد فردي دون إجراء موثَّق</t>
  </si>
  <si>
    <t>التطبيق قائم على أشخاص لا على إجراء — ينهار بتغيّر الموظف</t>
  </si>
  <si>
    <t>7.4.2</t>
  </si>
  <si>
    <t>مراقبة أنشطة التميز في الخدمات ونتائجها</t>
  </si>
  <si>
    <t>Monitoring service excellence activities and results</t>
  </si>
  <si>
    <t>صيانة وتحسين</t>
  </si>
  <si>
    <t>هل تُراجَع «مراقبة أنشطة التميز في الخدمات ونتائجها» دورياً وتُغذّي نتائجها قرارات التحسين فعلياً؟</t>
  </si>
  <si>
    <t>IMT-ISE-SH-PRO-002</t>
  </si>
  <si>
    <t>IMT-ISE-CM-PRO-001</t>
  </si>
  <si>
    <t>4.1</t>
  </si>
  <si>
    <t>عام</t>
  </si>
  <si>
    <t>General</t>
  </si>
  <si>
    <t>هل اعتمدت الجهة «عام» وتستخدمه فعلياً في التقييم والتخطيط لا شكلياً؟</t>
  </si>
  <si>
    <t>معاينة ميدانية أظهرت التطبيق الفعلي مطابقاً للإجراء</t>
  </si>
  <si>
    <t>4.2</t>
  </si>
  <si>
    <t>الالتزام</t>
  </si>
  <si>
    <t>Commitment</t>
  </si>
  <si>
    <t>هل يظهر «الالتزام» في وثائق الجهة وممارساتها اليومية بدليل موضوعي؟</t>
  </si>
  <si>
    <t>4.3</t>
  </si>
  <si>
    <t>السعة</t>
  </si>
  <si>
    <t>Capacity</t>
  </si>
  <si>
    <t>هل يظهر «السعة» في وثائق الجهة وممارساتها اليومية بدليل موضوعي؟</t>
  </si>
  <si>
    <t>4.4</t>
  </si>
  <si>
    <t>الشفافية</t>
  </si>
  <si>
    <t>Transparency</t>
  </si>
  <si>
    <t>هل يظهر «الشفافية» في وثائق الجهة وممارساتها اليومية بدليل موضوعي؟</t>
  </si>
  <si>
    <t>السجل محدَّث والمخرجات متوفرة وموقعة من المالك</t>
  </si>
  <si>
    <t>4.5</t>
  </si>
  <si>
    <t>سهولة الوصول</t>
  </si>
  <si>
    <t>Accessibility</t>
  </si>
  <si>
    <t>هل يظهر «سهولة الوصول» في وثائق الجهة وممارساتها اليومية بدليل موضوعي؟</t>
  </si>
  <si>
    <t>4.6</t>
  </si>
  <si>
    <t>الاستجابة</t>
  </si>
  <si>
    <t>Responsiveness</t>
  </si>
  <si>
    <t>هل يظهر «الاستجابة» في وثائق الجهة وممارساتها اليومية بدليل موضوعي؟</t>
  </si>
  <si>
    <t>لا توجد وثيقة ولا سجل يغطي هذا البند</t>
  </si>
  <si>
    <t>4.7</t>
  </si>
  <si>
    <t>نزاهة المعلومات</t>
  </si>
  <si>
    <t>Information integrity</t>
  </si>
  <si>
    <t>هل يظهر «نزاهة المعلومات» في وثائق الجهة وممارساتها اليومية بدليل موضوعي؟</t>
  </si>
  <si>
    <t>4.8</t>
  </si>
  <si>
    <t>المساءلة</t>
  </si>
  <si>
    <t>Accountability</t>
  </si>
  <si>
    <t>هل يظهر «المساءلة» في وثائق الجهة وممارساتها اليومية بدليل موضوعي؟</t>
  </si>
  <si>
    <t>4.9</t>
  </si>
  <si>
    <t>التحسين</t>
  </si>
  <si>
    <t>Improvement</t>
  </si>
  <si>
    <t>هل يظهر «التحسين» في وثائق الجهة وممارساتها اليومية بدليل موضوعي؟</t>
  </si>
  <si>
    <t>4.10</t>
  </si>
  <si>
    <t>السرية</t>
  </si>
  <si>
    <t>Confidentiality</t>
  </si>
  <si>
    <t>هل يظهر «السرية» في وثائق الجهة وممارساتها اليومية بدليل موضوعي؟</t>
  </si>
  <si>
    <t>لا يوجد مصدر بيانات يسمح بالقياس أو الإثبات</t>
  </si>
  <si>
    <t>لا توجد آلية لجمع البيانات المطلوبة لهذا البند</t>
  </si>
  <si>
    <t>4.11</t>
  </si>
  <si>
    <t>المنهج المرتكز على المستفيد</t>
  </si>
  <si>
    <t>Customer-focused approach</t>
  </si>
  <si>
    <t>هل يظهر «المنهج المرتكز على المستفيد» في وثائق الجهة وممارساتها اليومية بدليل موضوعي؟</t>
  </si>
  <si>
    <t>4.12</t>
  </si>
  <si>
    <t>الكفاءة</t>
  </si>
  <si>
    <t>Competence</t>
  </si>
  <si>
    <t>هل يظهر «الكفاءة» في وثائق الجهة وممارساتها اليومية بدليل موضوعي؟</t>
  </si>
  <si>
    <t>ملاحظة تحسينية على أسلوب التطبيق</t>
  </si>
  <si>
    <t>4.13</t>
  </si>
  <si>
    <t>التوقيت المناسب</t>
  </si>
  <si>
    <t>Timeliness</t>
  </si>
  <si>
    <t>هل يظهر «التوقيت المناسب» في وثائق الجهة وممارساتها اليومية بدليل موضوعي؟</t>
  </si>
  <si>
    <t>5.1</t>
  </si>
  <si>
    <t>سياق المنظمة</t>
  </si>
  <si>
    <t>Context of the organization</t>
  </si>
  <si>
    <t>هل اعتمدت الجهة «سياق المنظمة» وتستخدمه فعلياً في التقييم والتخطيط لا شكلياً؟</t>
  </si>
  <si>
    <t>IMT-ISE-CR-PRO-001</t>
  </si>
  <si>
    <t>5.2</t>
  </si>
  <si>
    <t>إرساء الميثاق</t>
  </si>
  <si>
    <t>Establishment</t>
  </si>
  <si>
    <t>هل اعتمدت الجهة «إرساء الميثاق» وتستخدمه فعلياً في التقييم والتخطيط لا شكلياً؟</t>
  </si>
  <si>
    <t>5.3</t>
  </si>
  <si>
    <t>تكامل الميثاق مع أنظمة المنظمة</t>
  </si>
  <si>
    <t>Integration</t>
  </si>
  <si>
    <t>هل اعتمدت الجهة «تكامل الميثاق مع أنظمة المنظمة» وتستخدمه فعلياً في التقييم والتخطيط لا شكلياً؟</t>
  </si>
  <si>
    <t>6.1</t>
  </si>
  <si>
    <t>تحديد أهداف الميثاق</t>
  </si>
  <si>
    <t>Determine code objectives</t>
  </si>
  <si>
    <t>تخطيط وتصميم</t>
  </si>
  <si>
    <t>هل خطّطت الجهة لـ«تحديد أهداف الميثاق» وحدّدت مسؤولياته وموارده ومخرجاته؟</t>
  </si>
  <si>
    <t>6.2</t>
  </si>
  <si>
    <t>جمع المعلومات وتقييمها</t>
  </si>
  <si>
    <t>Gather and assess information</t>
  </si>
  <si>
    <t>هل خطّطت الجهة لـ«جمع المعلومات وتقييمها» وحدّدت مسؤولياته وموارده ومخرجاته؟</t>
  </si>
  <si>
    <t>6.3</t>
  </si>
  <si>
    <t>الحصول على مدخلات الأطراف المعنية وتقييمها</t>
  </si>
  <si>
    <t>Obtain and assess input from relevant interested parties</t>
  </si>
  <si>
    <t>هل خطّطت الجهة لـ«الحصول على مدخلات الأطراف المعنية وتقييمها» وحدّدت مسؤولياته وموارده ومخرجاته؟</t>
  </si>
  <si>
    <t>6.4</t>
  </si>
  <si>
    <t>إعداد الميثاق</t>
  </si>
  <si>
    <t>Prepare code</t>
  </si>
  <si>
    <t>هل خطّطت الجهة لـ«إعداد الميثاق» وحدّدت مسؤولياته وموارده ومخرجاته؟</t>
  </si>
  <si>
    <t>6.5</t>
  </si>
  <si>
    <t>إعداد مؤشرات أداء الميثاق</t>
  </si>
  <si>
    <t>Prepare performance indicators</t>
  </si>
  <si>
    <t>هل خطّطت الجهة لـ«إعداد مؤشرات أداء الميثاق» وحدّدت مسؤولياته وموارده ومخرجاته؟</t>
  </si>
  <si>
    <t>IMT-ISE-SH-REG-001</t>
  </si>
  <si>
    <t>6.6</t>
  </si>
  <si>
    <t>إعداد إجراءات الميثاق</t>
  </si>
  <si>
    <t>Prepare code procedures</t>
  </si>
  <si>
    <t>هل خطّطت الجهة لـ«إعداد إجراءات الميثاق» وحدّدت مسؤولياته وموارده ومخرجاته؟</t>
  </si>
  <si>
    <t>6.7</t>
  </si>
  <si>
    <t>إعداد خطة التواصل الداخلي والخارجي</t>
  </si>
  <si>
    <t>Prepare internal and external communication plan</t>
  </si>
  <si>
    <t>هل خطّطت الجهة لـ«إعداد خطة التواصل الداخلي والخارجي» وحدّدت مسؤولياته وموارده ومخرجاته؟</t>
  </si>
  <si>
    <t>IMT-ISE-SH-PRO-001</t>
  </si>
  <si>
    <t>6.8</t>
  </si>
  <si>
    <t>تحديد الموارد اللازمة</t>
  </si>
  <si>
    <t>Determine resources needed</t>
  </si>
  <si>
    <t>هل خطّطت الجهة لـ«تحديد الموارد اللازمة» وحدّدت مسؤولياته وموارده ومخرجاته؟</t>
  </si>
  <si>
    <t>7</t>
  </si>
  <si>
    <t>تطبيق الميثاق</t>
  </si>
  <si>
    <t>Implementation</t>
  </si>
  <si>
    <t>هل تُنفَّذ «تطبيق الميثاق» وفق إجراء موثَّق محدد الأدوار والمُدد والسجلات؟</t>
  </si>
  <si>
    <t>8.1</t>
  </si>
  <si>
    <t>جمع المعلومات</t>
  </si>
  <si>
    <t>Collection of information</t>
  </si>
  <si>
    <t>هل تُراجَع «جمع المعلومات» دورياً وتُغذّي نتائجها قرارات التحسين فعلياً؟</t>
  </si>
  <si>
    <t>IMT-ISE-SH-PRO-003</t>
  </si>
  <si>
    <t>8.2</t>
  </si>
  <si>
    <t>تقييم أداء الميثاق</t>
  </si>
  <si>
    <t>Evaluation of code performance</t>
  </si>
  <si>
    <t>هل تُراجَع «تقييم أداء الميثاق» دورياً وتُغذّي نتائجها قرارات التحسين فعلياً؟</t>
  </si>
  <si>
    <t>8.3</t>
  </si>
  <si>
    <t>تقييم الرضا عن الميثاق</t>
  </si>
  <si>
    <t>Evaluation of the satisfaction with the code</t>
  </si>
  <si>
    <t>هل تُراجَع «تقييم الرضا عن الميثاق» دورياً وتُغذّي نتائجها قرارات التحسين فعلياً؟</t>
  </si>
  <si>
    <t>IMT-ISE-CS-PRO-001</t>
  </si>
  <si>
    <t>8.4</t>
  </si>
  <si>
    <t>مراجعة الميثاق وإطاره</t>
  </si>
  <si>
    <t>Review of the code and code framework</t>
  </si>
  <si>
    <t>هل تُراجَع «مراجعة الميثاق وإطاره» دورياً وتُغذّي نتائجها قرارات التحسين فعلياً؟</t>
  </si>
  <si>
    <t>IMT-ISE-SH-PRO-005</t>
  </si>
  <si>
    <t>لم تُعرَّف الأدوار والمسؤوليات لهذا البند</t>
  </si>
  <si>
    <t>8.5</t>
  </si>
  <si>
    <t>التحسين المستمر</t>
  </si>
  <si>
    <t>Continual improvement</t>
  </si>
  <si>
    <t>هل تُراجَع «التحسين المستمر» دورياً وتُغذّي نتائجها قرارات التحسين فعلياً؟</t>
  </si>
  <si>
    <t>IMT-ISE-SH-PRO-006</t>
  </si>
  <si>
    <t>الملحق A</t>
  </si>
  <si>
    <t>أمثلة مبسطة لمكونات المواثيق</t>
  </si>
  <si>
    <t>Simplified examples of components of codes</t>
  </si>
  <si>
    <t>ملحق إرشادي</t>
  </si>
  <si>
    <t>هل استفادت الجهة من إرشادات «أمثلة مبسطة لمكونات المواثيق» أو وثّقت مبرر عدم الأخذ بها؟</t>
  </si>
  <si>
    <t>IMT-ISE-CM-CHT-001</t>
  </si>
  <si>
    <t>الملحق B</t>
  </si>
  <si>
    <t>العلاقة البينية بين المواصفات الأربع</t>
  </si>
  <si>
    <t>Interrelationship of ISO 10001, 10002, 10003 and 10004</t>
  </si>
  <si>
    <t>هل استفادت الجهة من إرشادات «العلاقة البينية بين المواصفات الأربع» أو وثّقت مبرر عدم الأخذ بها؟</t>
  </si>
  <si>
    <t>IMT-ISE-IM-PLN-000</t>
  </si>
  <si>
    <t>لم يُكلَّف مالك للبند ولم تُحدَّد آلية التنفيذ</t>
  </si>
  <si>
    <t>الملحق C</t>
  </si>
  <si>
    <t>إرشادات للمنشآت الصغيرة</t>
  </si>
  <si>
    <t>Guidance for small businesses</t>
  </si>
  <si>
    <t>هل استفادت الجهة من إرشادات «إرشادات للمنشآت الصغيرة» أو وثّقت مبرر عدم الأخذ بها؟</t>
  </si>
  <si>
    <t>IMT-ISE-IM-GDE-001</t>
  </si>
  <si>
    <t>الملحق D</t>
  </si>
  <si>
    <t>إرشادات سهولة الوصول</t>
  </si>
  <si>
    <t>Guidance on accessibility</t>
  </si>
  <si>
    <t>هل استفادت الجهة من إرشادات «إرشادات سهولة الوصول» أو وثّقت مبرر عدم الأخذ بها؟</t>
  </si>
  <si>
    <t>IMT-ISE-SH-MTX-001</t>
  </si>
  <si>
    <t>تطبيق جزئي — يحتاج تعميماً على باقي القنوات والإدارات</t>
  </si>
  <si>
    <t>الملحق E</t>
  </si>
  <si>
    <t>إرشادات مدخلات الأطراف المعنية</t>
  </si>
  <si>
    <t>Guidance on input from interested parties</t>
  </si>
  <si>
    <t>هل استفادت الجهة من إرشادات «إرشادات مدخلات الأطراف المعنية» أو وثّقت مبرر عدم الأخذ بها؟</t>
  </si>
  <si>
    <t>IMT-ISE-CM-FRM-002</t>
  </si>
  <si>
    <t>الملحق F</t>
  </si>
  <si>
    <t>إطار الميثاق</t>
  </si>
  <si>
    <t>Code framework</t>
  </si>
  <si>
    <t>هل استفادت الجهة من إرشادات «إطار الميثاق» أو وثّقت مبرر عدم الأخذ بها؟</t>
  </si>
  <si>
    <t>الملحق G</t>
  </si>
  <si>
    <t>إرشادات تبنّي ميثاق من منظمة أخرى</t>
  </si>
  <si>
    <t>Guidance on adopting a code provided by another organization</t>
  </si>
  <si>
    <t>هل استفادت الجهة من إرشادات «إرشادات تبنّي ميثاق من منظمة أخرى» أو وثّقت مبرر عدم الأخذ بها؟</t>
  </si>
  <si>
    <t>الملحق H</t>
  </si>
  <si>
    <t>إرشادات إعداد الميثاق</t>
  </si>
  <si>
    <t>Guidance on preparing the code</t>
  </si>
  <si>
    <t>هل استفادت الجهة من إرشادات «إرشادات إعداد الميثاق» أو وثّقت مبرر عدم الأخذ بها؟</t>
  </si>
  <si>
    <t>IMT-ISE-CM-FRM-003</t>
  </si>
  <si>
    <t>الملحق I</t>
  </si>
  <si>
    <t>إرشادات إعداد خطط التواصل</t>
  </si>
  <si>
    <t>Guidance on preparing communication plans</t>
  </si>
  <si>
    <t>هل استفادت الجهة من إرشادات «إرشادات إعداد خطط التواصل» أو وثّقت مبرر عدم الأخذ بها؟</t>
  </si>
  <si>
    <t>IMT-ISE-CM-PLN-001</t>
  </si>
  <si>
    <t>IMT-ISE-CP-PRO-001</t>
  </si>
  <si>
    <t>البند غير مدرج ضمن دورة المراجعة الحالية</t>
  </si>
  <si>
    <t>غياب كامل للبند — لا وثيقة ولا سجل ولا مالك</t>
  </si>
  <si>
    <t>الموضوعية</t>
  </si>
  <si>
    <t>Objectivity</t>
  </si>
  <si>
    <t>هل يظهر «الموضوعية» في وثائق الجهة وممارساتها اليومية بدليل موضوعي؟</t>
  </si>
  <si>
    <t>مجانية عملية الشكاوى</t>
  </si>
  <si>
    <t>Charges</t>
  </si>
  <si>
    <t>هل يظهر «مجانية عملية الشكاوى» في وثائق الجهة وممارساتها اليومية بدليل موضوعي؟</t>
  </si>
  <si>
    <t>4.14</t>
  </si>
  <si>
    <t>4.15</t>
  </si>
  <si>
    <t>القيادة والالتزام</t>
  </si>
  <si>
    <t>Leadership and commitment</t>
  </si>
  <si>
    <t>هل اعتمدت الجهة «القيادة والالتزام» وتستخدمه فعلياً في التقييم والتخطيط لا شكلياً؟</t>
  </si>
  <si>
    <t>IMT-ISE-CP-POL-001</t>
  </si>
  <si>
    <t>سياسة معالجة الشكاوى</t>
  </si>
  <si>
    <t>Policy</t>
  </si>
  <si>
    <t>هل اعتمدت الجهة «سياسة معالجة الشكاوى» وتستخدمه فعلياً في التقييم والتخطيط لا شكلياً؟</t>
  </si>
  <si>
    <t>5.4</t>
  </si>
  <si>
    <t>المسؤولية والصلاحية</t>
  </si>
  <si>
    <t>Responsibility and authority</t>
  </si>
  <si>
    <t>هل اعتمدت الجهة «المسؤولية والصلاحية» وتستخدمه فعلياً في التقييم والتخطيط لا شكلياً؟</t>
  </si>
  <si>
    <t>عام — التخطيط والتصميم والتطوير</t>
  </si>
  <si>
    <t>هل خطّطت الجهة لـ«عام — التخطيط والتصميم والتطوير» وحدّدت مسؤولياته وموارده ومخرجاته؟</t>
  </si>
  <si>
    <t>أهداف عملية معالجة الشكاوى</t>
  </si>
  <si>
    <t>Objectives</t>
  </si>
  <si>
    <t>هل خطّطت الجهة لـ«أهداف عملية معالجة الشكاوى» وحدّدت مسؤولياته وموارده ومخرجاته؟</t>
  </si>
  <si>
    <t>أنشطة عملية معالجة الشكاوى</t>
  </si>
  <si>
    <t>Activities</t>
  </si>
  <si>
    <t>هل خطّطت الجهة لـ«أنشطة عملية معالجة الشكاوى» وحدّدت مسؤولياته وموارده ومخرجاته؟</t>
  </si>
  <si>
    <t>موارد عملية معالجة الشكاوى</t>
  </si>
  <si>
    <t>Resources</t>
  </si>
  <si>
    <t>هل خطّطت الجهة لـ«موارد عملية معالجة الشكاوى» وحدّدت مسؤولياته وموارده ومخرجاته؟</t>
  </si>
  <si>
    <t>7.1</t>
  </si>
  <si>
    <t>التواصل بشأن عملية معالجة الشكاوى</t>
  </si>
  <si>
    <t>Communication</t>
  </si>
  <si>
    <t>هل تُنفَّذ «التواصل بشأن عملية معالجة الشكاوى» وفق إجراء موثَّق محدد الأدوار والمُدد والسجلات؟</t>
  </si>
  <si>
    <t>7.2</t>
  </si>
  <si>
    <t>استلام الشكاوى</t>
  </si>
  <si>
    <t>Receipt of complaints</t>
  </si>
  <si>
    <t>هل تُنفَّذ «استلام الشكاوى» وفق إجراء موثَّق محدد الأدوار والمُدد والسجلات؟</t>
  </si>
  <si>
    <t>7.3</t>
  </si>
  <si>
    <t>تتبع الشكاوى</t>
  </si>
  <si>
    <t>Tracking of complaints</t>
  </si>
  <si>
    <t>هل تُنفَّذ «تتبع الشكاوى» وفق إجراء موثَّق محدد الأدوار والمُدد والسجلات؟</t>
  </si>
  <si>
    <t>7.4</t>
  </si>
  <si>
    <t>الإشعار باستلام الشكاوى</t>
  </si>
  <si>
    <t>Acknowledgement of complaints</t>
  </si>
  <si>
    <t>هل تُنفَّذ «الإشعار باستلام الشكاوى» وفق إجراء موثَّق محدد الأدوار والمُدد والسجلات؟</t>
  </si>
  <si>
    <t>7.5</t>
  </si>
  <si>
    <t>التقييم الأولي للشكاوى</t>
  </si>
  <si>
    <t>Initial assessment of complaints</t>
  </si>
  <si>
    <t>هل تُنفَّذ «التقييم الأولي للشكاوى» وفق إجراء موثَّق محدد الأدوار والمُدد والسجلات؟</t>
  </si>
  <si>
    <t>7.6</t>
  </si>
  <si>
    <t>التحقيق في الشكاوى</t>
  </si>
  <si>
    <t>Investigation of complaints</t>
  </si>
  <si>
    <t>هل تُنفَّذ «التحقيق في الشكاوى» وفق إجراء موثَّق محدد الأدوار والمُدد والسجلات؟</t>
  </si>
  <si>
    <t>7.7</t>
  </si>
  <si>
    <t>الرد على الشكاوى</t>
  </si>
  <si>
    <t>Response to complaints</t>
  </si>
  <si>
    <t>هل تُنفَّذ «الرد على الشكاوى» وفق إجراء موثَّق محدد الأدوار والمُدد والسجلات؟</t>
  </si>
  <si>
    <t>7.8</t>
  </si>
  <si>
    <t>إبلاغ القرار لمقدم الشكوى</t>
  </si>
  <si>
    <t>Communicating the decision</t>
  </si>
  <si>
    <t>هل تُنفَّذ «إبلاغ القرار لمقدم الشكوى» وفق إجراء موثَّق محدد الأدوار والمُدد والسجلات؟</t>
  </si>
  <si>
    <t>7.9</t>
  </si>
  <si>
    <t>إغلاق الشكاوى</t>
  </si>
  <si>
    <t>Closing complaints</t>
  </si>
  <si>
    <t>هل تُنفَّذ «إغلاق الشكاوى» وفق إجراء موثَّق محدد الأدوار والمُدد والسجلات؟</t>
  </si>
  <si>
    <t>تحليل الشكاوى وتقييمها</t>
  </si>
  <si>
    <t>Analysis and evaluation of complaints</t>
  </si>
  <si>
    <t>هل تُراجَع «تحليل الشكاوى وتقييمها» دورياً وتُغذّي نتائجها قرارات التحسين فعلياً؟</t>
  </si>
  <si>
    <t>تقييم الرضا عن عملية معالجة الشكاوى</t>
  </si>
  <si>
    <t>Evaluation of the satisfaction with the complaints-handling process</t>
  </si>
  <si>
    <t>هل تُراجَع «تقييم الرضا عن عملية معالجة الشكاوى» دورياً وتُغذّي نتائجها قرارات التحسين فعلياً؟</t>
  </si>
  <si>
    <t>مراقبة عملية معالجة الشكاوى</t>
  </si>
  <si>
    <t>Monitoring of the complaints-handling process</t>
  </si>
  <si>
    <t>هل تُراجَع «مراقبة عملية معالجة الشكاوى» دورياً وتُغذّي نتائجها قرارات التحسين فعلياً؟</t>
  </si>
  <si>
    <t>IMT-ISE-SH-PRO-004</t>
  </si>
  <si>
    <t>تدقيق عملية معالجة الشكاوى</t>
  </si>
  <si>
    <t>Auditing of the complaints-handling process</t>
  </si>
  <si>
    <t>هل تُراجَع «تدقيق عملية معالجة الشكاوى» دورياً وتُغذّي نتائجها قرارات التحسين فعلياً؟</t>
  </si>
  <si>
    <t>8.6</t>
  </si>
  <si>
    <t>مراجعة الإدارة لعملية معالجة الشكاوى</t>
  </si>
  <si>
    <t>Management review of the complaints-handling process</t>
  </si>
  <si>
    <t>هل تُراجَع «مراجعة الإدارة لعملية معالجة الشكاوى» دورياً وتُغذّي نتائجها قرارات التحسين فعلياً؟</t>
  </si>
  <si>
    <t>8.7</t>
  </si>
  <si>
    <t>Interrelationship of ISO 10001, this document, ISO 10003 and ISO 10004</t>
  </si>
  <si>
    <t>Guidance for small business</t>
  </si>
  <si>
    <t>نموذج لمقدم الشكوى</t>
  </si>
  <si>
    <t>Form for complainant</t>
  </si>
  <si>
    <t>هل استفادت الجهة من إرشادات «نموذج لمقدم الشكوى» أو وثّقت مبرر عدم الأخذ بها؟</t>
  </si>
  <si>
    <t>IMT-ISE-CP-FRM-001</t>
  </si>
  <si>
    <t>الموضوعية في معالجة الشكاوى</t>
  </si>
  <si>
    <t>هل استفادت الجهة من إرشادات «الموضوعية في معالجة الشكاوى» أو وثّقت مبرر عدم الأخذ بها؟</t>
  </si>
  <si>
    <t>مخطط سير معالجة الشكاوى</t>
  </si>
  <si>
    <t>Complaints-handling flowchart</t>
  </si>
  <si>
    <t>هل استفادت الجهة من إرشادات «مخطط سير معالجة الشكاوى» أو وثّقت مبرر عدم الأخذ بها؟</t>
  </si>
  <si>
    <t>نموذج متابعة الشكوى</t>
  </si>
  <si>
    <t>Complaint follow-up form</t>
  </si>
  <si>
    <t>هل استفادت الجهة من إرشادات «نموذج متابعة الشكوى» أو وثّقت مبرر عدم الأخذ بها؟</t>
  </si>
  <si>
    <t>IMT-ISE-CP-FRM-002</t>
  </si>
  <si>
    <t>الردود على الشكاوى</t>
  </si>
  <si>
    <t>Responses</t>
  </si>
  <si>
    <t>هل استفادت الجهة من إرشادات «الردود على الشكاوى» أو وثّقت مبرر عدم الأخذ بها؟</t>
  </si>
  <si>
    <t>IMT-ISE-CP-TMP-002</t>
  </si>
  <si>
    <t>مخطط التصعيد</t>
  </si>
  <si>
    <t>Escalation flowchart</t>
  </si>
  <si>
    <t>هل استفادت الجهة من إرشادات «مخطط التصعيد» أو وثّقت مبرر عدم الأخذ بها؟</t>
  </si>
  <si>
    <t>IMT-ISE-CP-FRM-004</t>
  </si>
  <si>
    <t>المراقبة المستمرة</t>
  </si>
  <si>
    <t>Continual monitoring</t>
  </si>
  <si>
    <t>هل استفادت الجهة من إرشادات «المراقبة المستمرة» أو وثّقت مبرر عدم الأخذ بها؟</t>
  </si>
  <si>
    <t>IMT-ISE-CP-MTX-001</t>
  </si>
  <si>
    <t>الملحق J</t>
  </si>
  <si>
    <t>Audit</t>
  </si>
  <si>
    <t>هل استفادت الجهة من إرشادات «تدقيق عملية معالجة الشكاوى» أو وثّقت مبرر عدم الأخذ بها؟</t>
  </si>
  <si>
    <t>IMT-ISE-CP-FRM-008</t>
  </si>
  <si>
    <t>IMT-ISE-CS-MTH-001</t>
  </si>
  <si>
    <t>عام — المفاهيم والمبادئ التوجيهية</t>
  </si>
  <si>
    <t>هل اعتمدت الجهة «عام — المفاهيم والمبادئ التوجيهية» وتستخدمه فعلياً في التقييم والتخطيط لا شكلياً؟</t>
  </si>
  <si>
    <t>مفهوم رضا المستفيد — فجوة التوقع والإدراك</t>
  </si>
  <si>
    <t>Concept of customer satisfaction</t>
  </si>
  <si>
    <t>هل استوعبت القيادة وفريق العمل مفهوم «مفهوم رضا المستفيد — فجوة التوقع والإدراك» وانعكس في التوجه المعتمد؟</t>
  </si>
  <si>
    <t>4.3.1</t>
  </si>
  <si>
    <t>4.3.2</t>
  </si>
  <si>
    <t>4.3.3</t>
  </si>
  <si>
    <t>4.3.4</t>
  </si>
  <si>
    <t>4.3.5</t>
  </si>
  <si>
    <t>4.3.6</t>
  </si>
  <si>
    <t>4.3.7</t>
  </si>
  <si>
    <t>4.3.8</t>
  </si>
  <si>
    <t>4.3.9</t>
  </si>
  <si>
    <t>4.3.10</t>
  </si>
  <si>
    <t>4.3.11</t>
  </si>
  <si>
    <t>4.3.12</t>
  </si>
  <si>
    <t>4.3.13</t>
  </si>
  <si>
    <t>الفهم الكامل للتوقعات</t>
  </si>
  <si>
    <t>Comprehension</t>
  </si>
  <si>
    <t>هل يظهر «الفهم الكامل للتوقعات» في وثائق الجهة وممارساتها اليومية بدليل موضوعي؟</t>
  </si>
  <si>
    <t>4.3.14</t>
  </si>
  <si>
    <t>استمرارية القياس</t>
  </si>
  <si>
    <t>Continuity</t>
  </si>
  <si>
    <t>هل يظهر «استمرارية القياس» في وثائق الجهة وممارساتها اليومية بدليل موضوعي؟</t>
  </si>
  <si>
    <t>إرساء إطار المراقبة والقياس</t>
  </si>
  <si>
    <t>هل اعتمدت الجهة «إرساء إطار المراقبة والقياس» وتستخدمه فعلياً في التقييم والتخطيط لا شكلياً؟</t>
  </si>
  <si>
    <t>تحديد الغرض والأهداف</t>
  </si>
  <si>
    <t>Defining the purpose and objectives</t>
  </si>
  <si>
    <t>هل خطّطت الجهة لـ«تحديد الغرض والأهداف» وحدّدت مسؤولياته وموارده ومخرجاته؟</t>
  </si>
  <si>
    <t>تحديد النطاق والتكرار</t>
  </si>
  <si>
    <t>Determining the scope and frequency</t>
  </si>
  <si>
    <t>هل خطّطت الجهة لـ«تحديد النطاق والتكرار» وحدّدت مسؤولياته وموارده ومخرجاته؟</t>
  </si>
  <si>
    <t>تحديد طرق التنفيذ والمسؤوليات</t>
  </si>
  <si>
    <t>Determining implementation methods and responsibilities</t>
  </si>
  <si>
    <t>هل خطّطت الجهة لـ«تحديد طرق التنفيذ والمسؤوليات» وحدّدت مسؤولياته وموارده ومخرجاته؟</t>
  </si>
  <si>
    <t>تخصيص الموارد</t>
  </si>
  <si>
    <t>Allocating resources</t>
  </si>
  <si>
    <t>هل خطّطت الجهة لـ«تخصيص الموارد» وحدّدت مسؤولياته وموارده ومخرجاته؟</t>
  </si>
  <si>
    <t>عام — التشغيل</t>
  </si>
  <si>
    <t>هل تُنفَّذ «عام — التشغيل» وفق إجراء موثَّق محدد الأدوار والمُدد والسجلات؟</t>
  </si>
  <si>
    <t>تحديد المستفيدين</t>
  </si>
  <si>
    <t>Identifying customers</t>
  </si>
  <si>
    <t>هل تُنفَّذ «تحديد المستفيدين» وفق إجراء موثَّق محدد الأدوار والمُدد والسجلات؟</t>
  </si>
  <si>
    <t>تحديد توقعات المستفيدين</t>
  </si>
  <si>
    <t>Determining customer expectations</t>
  </si>
  <si>
    <t>هل تُنفَّذ «تحديد توقعات المستفيدين» وفق إجراء موثَّق محدد الأدوار والمُدد والسجلات؟</t>
  </si>
  <si>
    <t>تحديد واختيار الخصائص المتعلقة برضا المستفيد</t>
  </si>
  <si>
    <t>Identifying and selecting characteristics related to customer satisfaction</t>
  </si>
  <si>
    <t>هل تُنفَّذ «تحديد واختيار الخصائص المتعلقة برضا المستفيد» وفق إجراء موثَّق محدد الأدوار والمُدد والسجلات؟</t>
  </si>
  <si>
    <t>المؤشرات غير المباشرة لرضا المستفيد</t>
  </si>
  <si>
    <t>Indirect indicators of customer satisfaction</t>
  </si>
  <si>
    <t>هل تُنفَّذ «المؤشرات غير المباشرة لرضا المستفيد» وفق إجراء موثَّق محدد الأدوار والمُدد والسجلات؟</t>
  </si>
  <si>
    <t>المقاييس المباشرة لرضا المستفيد</t>
  </si>
  <si>
    <t>Direct measures of customer satisfaction</t>
  </si>
  <si>
    <t>هل تُنفَّذ «المقاييس المباشرة لرضا المستفيد» وفق إجراء موثَّق محدد الأدوار والمُدد والسجلات؟</t>
  </si>
  <si>
    <t>7.3.4</t>
  </si>
  <si>
    <t>جمع بيانات رضا المستفيد</t>
  </si>
  <si>
    <t>Collecting customer satisfaction data</t>
  </si>
  <si>
    <t>هل تُنفَّذ «جمع بيانات رضا المستفيد» وفق إجراء موثَّق محدد الأدوار والمُدد والسجلات؟</t>
  </si>
  <si>
    <t>عام — تحليل البيانات</t>
  </si>
  <si>
    <t>هل تُنفَّذ «عام — تحليل البيانات» وفق إجراء موثَّق محدد الأدوار والمُدد والسجلات؟</t>
  </si>
  <si>
    <t>تحضير البيانات للتحليل</t>
  </si>
  <si>
    <t>Preparing the data for analysis</t>
  </si>
  <si>
    <t>هل تُنفَّذ «تحضير البيانات للتحليل» وفق إجراء موثَّق محدد الأدوار والمُدد والسجلات؟</t>
  </si>
  <si>
    <t>7.4.3</t>
  </si>
  <si>
    <t>تحديد طريقة التحليل</t>
  </si>
  <si>
    <t>Determining the method of analysis</t>
  </si>
  <si>
    <t>هل تُنفَّذ «تحديد طريقة التحليل» وفق إجراء موثَّق محدد الأدوار والمُدد والسجلات؟</t>
  </si>
  <si>
    <t>7.4.4</t>
  </si>
  <si>
    <t>إجراء التحليل</t>
  </si>
  <si>
    <t>Conducting the analysis</t>
  </si>
  <si>
    <t>هل تُنفَّذ «إجراء التحليل» وفق إجراء موثَّق محدد الأدوار والمُدد والسجلات؟</t>
  </si>
  <si>
    <t>7.4.5</t>
  </si>
  <si>
    <t>التحقق من صحة التحليل</t>
  </si>
  <si>
    <t>Validating the analysis</t>
  </si>
  <si>
    <t>هل تُنفَّذ «التحقق من صحة التحليل» وفق إجراء موثَّق محدد الأدوار والمُدد والسجلات؟</t>
  </si>
  <si>
    <t>7.4.6</t>
  </si>
  <si>
    <t>إعداد تقرير النتائج والتوصيات</t>
  </si>
  <si>
    <t>Reporting results and recommendations</t>
  </si>
  <si>
    <t>هل تُنفَّذ «إعداد تقرير النتائج والتوصيات» وفق إجراء موثَّق محدد الأدوار والمُدد والسجلات؟</t>
  </si>
  <si>
    <t>إيصال معلومات رضا المستفيد</t>
  </si>
  <si>
    <t>Communicating customer satisfaction information</t>
  </si>
  <si>
    <t>هل تُنفَّذ «إيصال معلومات رضا المستفيد» وفق إجراء موثَّق محدد الأدوار والمُدد والسجلات؟</t>
  </si>
  <si>
    <t>7.6.1</t>
  </si>
  <si>
    <t>عام — مراقبة رضا المستفيد</t>
  </si>
  <si>
    <t>هل تُراجَع «عام — مراقبة رضا المستفيد» دورياً وتُغذّي نتائجها قرارات التحسين فعلياً؟</t>
  </si>
  <si>
    <t>7.6.2</t>
  </si>
  <si>
    <t>فحص المستفيدين المختارين والبيانات المجمعة</t>
  </si>
  <si>
    <t>Examining the customers selected and the data gathered</t>
  </si>
  <si>
    <t>هل تُراجَع «فحص المستفيدين المختارين والبيانات المجمعة» دورياً وتُغذّي نتائجها قرارات التحسين فعلياً؟</t>
  </si>
  <si>
    <t>7.6.3</t>
  </si>
  <si>
    <t>فحص معلومات رضا المستفيد</t>
  </si>
  <si>
    <t>Examining customer satisfaction information</t>
  </si>
  <si>
    <t>هل تُراجَع «فحص معلومات رضا المستفيد» دورياً وتُغذّي نتائجها قرارات التحسين فعلياً؟</t>
  </si>
  <si>
    <t>7.6.4</t>
  </si>
  <si>
    <t>مراقبة الإجراءات المتخذة استجابةً لمعلومات الرضا</t>
  </si>
  <si>
    <t>Monitoring actions taken in response to customer satisfaction information</t>
  </si>
  <si>
    <t>هل تُراجَع «مراقبة الإجراءات المتخذة استجابةً لمعلومات الرضا» دورياً وتُغذّي نتائجها قرارات التحسين فعلياً؟</t>
  </si>
  <si>
    <t>7.6.5</t>
  </si>
  <si>
    <t>تقييم فعالية الإجراءات المتخذة</t>
  </si>
  <si>
    <t>Assessing the effectiveness of actions taken</t>
  </si>
  <si>
    <t>هل تُراجَع «تقييم فعالية الإجراءات المتخذة» دورياً وتُغذّي نتائجها قرارات التحسين فعلياً؟</t>
  </si>
  <si>
    <t>8</t>
  </si>
  <si>
    <t>الصيانة والتحسين</t>
  </si>
  <si>
    <t>Maintenance and improvement</t>
  </si>
  <si>
    <t>هل تُراجَع «الصيانة والتحسين» دورياً وتُغذّي نتائجها قرارات التحسين فعلياً؟</t>
  </si>
  <si>
    <t>Interrelationship of ISO 10001, ISO 10002, ISO 10003 and this document</t>
  </si>
  <si>
    <t>النموذج المفاهيمي لرضا العميل</t>
  </si>
  <si>
    <t>Conceptual model of customer satisfaction</t>
  </si>
  <si>
    <t>هل استفادت الجهة من إرشادات «النموذج المفاهيمي لرضا العميل» أو وثّقت مبرر عدم الأخذ بها؟</t>
  </si>
  <si>
    <t>تحديد توقعات العميل</t>
  </si>
  <si>
    <t>Identification of customer expectations</t>
  </si>
  <si>
    <t>هل استفادت الجهة من إرشادات «تحديد توقعات العميل» أو وثّقت مبرر عدم الأخذ بها؟</t>
  </si>
  <si>
    <t>IMT-ISE-CS-FRM-002</t>
  </si>
  <si>
    <t>القياس المباشر لرضا العميل</t>
  </si>
  <si>
    <t>Direct measurement of customer satisfaction</t>
  </si>
  <si>
    <t>هل استفادت الجهة من إرشادات «القياس المباشر لرضا العميل» أو وثّقت مبرر عدم الأخذ بها؟</t>
  </si>
  <si>
    <t>IMT-ISE-CS-TMP-001</t>
  </si>
  <si>
    <t>تحليل بيانات رضا العميل</t>
  </si>
  <si>
    <t>Analysis of customer satisfaction data</t>
  </si>
  <si>
    <t>هل استفادت الجهة من إرشادات «تحليل بيانات رضا العميل» أو وثّقت مبرر عدم الأخذ بها؟</t>
  </si>
  <si>
    <t>IMT-ISE-CS-TMP-002</t>
  </si>
  <si>
    <t>استخدام معلومات رضا العميل</t>
  </si>
  <si>
    <t>Using customer satisfaction information</t>
  </si>
  <si>
    <t>هل استفادت الجهة من إرشادات «استخدام معلومات رضا العميل» أو وثّقت مبرر عدم الأخذ بها؟</t>
  </si>
  <si>
    <t>IMT-ISE-CS-WKS-001</t>
  </si>
  <si>
    <t>خطة المعالجة والتنفيذ — تُغذّى تلقائياً من ورقة تحليل الفجوة</t>
  </si>
  <si>
    <t>الأعمدة من A إلى K منقولة بالمعادلات ولا تُكتب. أكمل الأعمدة البيضاء من L إلى U. لعرض بنود الخطة وحدها: صفِّ العمود «مُدرَج في الخطة» على «نعم».</t>
  </si>
  <si>
    <t>مُدرَج في الخطة</t>
  </si>
  <si>
    <t>عنوان البند</t>
  </si>
  <si>
    <t>الأولوية</t>
  </si>
  <si>
    <t>وصف الفجوة</t>
  </si>
  <si>
    <t>الوثيقة أو الأداة المرتبطة</t>
  </si>
  <si>
    <t>إجراء المعالجة المطلوب</t>
  </si>
  <si>
    <t>تاريخ البدء</t>
  </si>
  <si>
    <t>تاريخ الاستحقاق</t>
  </si>
  <si>
    <t>نسبة الإنجاز %</t>
  </si>
  <si>
    <t>تاريخ الإغلاق</t>
  </si>
  <si>
    <t>الحالة الزمنية</t>
  </si>
  <si>
    <t>تحديث الوثيقة القائمة لتغطية البند صراحةً وإضافة جدول التتبّع</t>
  </si>
  <si>
    <t>تنفيذ ورشة تطبيقية للفريق المعني على متطلبات البند ونماذجه</t>
  </si>
  <si>
    <t>إضافة الحقول ونقاط التسجيل اللازمة في النظام لتوفير مصدر قياس</t>
  </si>
  <si>
    <t>إعداد واعتماد الوثيقة المرجعية للبند وربطها بنموذج وسجل ومؤشر</t>
  </si>
  <si>
    <t>إدراج البند ضمن خطة التحسين ومتابعته في مراجعة الإدارة</t>
  </si>
  <si>
    <t>فتح إجراء تصحيحي: تحليل السبب الجذري ثم معالجة وقياس الفعالية</t>
  </si>
  <si>
    <t>سجل الأدلة الموضوعية — ما استند إليه التقييم والتدقيق</t>
  </si>
  <si>
    <t>عنوان البند يُجلب تلقائياً بمجرد كتابة المواصفة ورقم البند. الدليل الذي لا يُسجَّل هنا لا يُعتد به عند المراجعة.</t>
  </si>
  <si>
    <t>رمز الدليل</t>
  </si>
  <si>
    <t>رقم البند</t>
  </si>
  <si>
    <t>عنوان البند (تلقائي)</t>
  </si>
  <si>
    <t>نوع الدليل</t>
  </si>
  <si>
    <t>وصف الدليل</t>
  </si>
  <si>
    <t>موقع الحفظ أو الرابط</t>
  </si>
  <si>
    <t>تاريخ الجمع</t>
  </si>
  <si>
    <t>جامع الدليل</t>
  </si>
  <si>
    <t>EV-001</t>
  </si>
  <si>
    <t>وثيقة معتمدة</t>
  </si>
  <si>
    <t>مجلد النظام / 05_النواة</t>
  </si>
  <si>
    <t>EV-002</t>
  </si>
  <si>
    <t>سجل مُعبَّأ</t>
  </si>
  <si>
    <t>مجلد النظام / 07_الالتزامات</t>
  </si>
  <si>
    <t>EV-003</t>
  </si>
  <si>
    <t>محضر اجتماع</t>
  </si>
  <si>
    <t>مجلد النظام / 08_الشكاوى</t>
  </si>
  <si>
    <t>EV-004</t>
  </si>
  <si>
    <t>لقطة شاشة من النظام</t>
  </si>
  <si>
    <t>مجلد النظام / 09_قياس الرضا</t>
  </si>
  <si>
    <t>EV-005</t>
  </si>
  <si>
    <t>تقرير دوري</t>
  </si>
  <si>
    <t>نظام إدارة الشكاوى — تقرير مُصدَّر</t>
  </si>
  <si>
    <t>EV-006</t>
  </si>
  <si>
    <t>قائمة تدقيق موقعة</t>
  </si>
  <si>
    <t>بوابة الخدمات الإلكترونية — لقطة</t>
  </si>
  <si>
    <t>EV-007</t>
  </si>
  <si>
    <t>أرشيف إدارة الجودة — ملف ورقي</t>
  </si>
  <si>
    <t>EV-008</t>
  </si>
  <si>
    <t>EV-009</t>
  </si>
  <si>
    <t>EV-010</t>
  </si>
  <si>
    <t>EV-011</t>
  </si>
  <si>
    <t>EV-012</t>
  </si>
  <si>
    <t>EV-013</t>
  </si>
  <si>
    <t>EV-014</t>
  </si>
  <si>
    <t>EV-015</t>
  </si>
  <si>
    <t>EV-016</t>
  </si>
  <si>
    <t>EV-017</t>
  </si>
  <si>
    <t>EV-018</t>
  </si>
  <si>
    <t>EV-019</t>
  </si>
  <si>
    <t>EV-020</t>
  </si>
  <si>
    <t>EV-021</t>
  </si>
  <si>
    <t>EV-022</t>
  </si>
  <si>
    <t>EV-023</t>
  </si>
  <si>
    <t>EV-024</t>
  </si>
  <si>
    <t>لوحة بيانات تحليل الفجوة والتدقيق الداخلي</t>
  </si>
  <si>
    <t>أمانة محافظة الريادة — كل الأرقام محسوبة ذاتياً من ورقتي «تحليل الفجوة» و«التخطيط والتنفيذ». لا يوجد رقم مكتوب يدوياً في هذه الورقة.</t>
  </si>
  <si>
    <t>1. المؤشرات العامة</t>
  </si>
  <si>
    <t>إجمالي البنود</t>
  </si>
  <si>
    <t>بنود مقيَّمة</t>
  </si>
  <si>
    <t>نسبة التطبيق العامة</t>
  </si>
  <si>
    <t>فجوات مُرحَّلة</t>
  </si>
  <si>
    <t>منها حرجة</t>
  </si>
  <si>
    <t>إجراءات مكتملة</t>
  </si>
  <si>
    <t>نسبة إنجاز الخطة</t>
  </si>
  <si>
    <t>إجراءات متأخرة</t>
  </si>
  <si>
    <t>2. الأداء حسب المواصفة</t>
  </si>
  <si>
    <t>عدد البنود</t>
  </si>
  <si>
    <t>نسبة التطبيق</t>
  </si>
  <si>
    <t>عدم مطابقة</t>
  </si>
  <si>
    <t>ISO 23592:2021 — التميز في الخدمات — المبادئ والنموذج</t>
  </si>
  <si>
    <t>ISO 10001:2018 — رضا العميل — إرشادات مدونات السلوك</t>
  </si>
  <si>
    <t>ISO 10002:2018 — رضا العميل — إرشادات معالجة الشكاوى</t>
  </si>
  <si>
    <t>ISO 10004:2018 — رضا العميل — إرشادات المراقبة والقياس</t>
  </si>
  <si>
    <t>3. توزيع نتائج التدقيق الداخلي</t>
  </si>
  <si>
    <t>العدد</t>
  </si>
  <si>
    <t>النسبة من الإجمالي</t>
  </si>
  <si>
    <t>الدلالة</t>
  </si>
  <si>
    <t>البند مطبق ولا ملاحظات — يُحافظ عليه</t>
  </si>
  <si>
    <t>غياب أو انهيار كامل لمتطلب جوهري — أولوية قصوى</t>
  </si>
  <si>
    <t>تطبيق ناقص أو غير منتظم — يُعالج بإجراء تصحيحي</t>
  </si>
  <si>
    <t>لا مخالفة، لكن الأسلوب قابل للتحسين</t>
  </si>
  <si>
    <t>فرصة تطوير اختيارية لا تُعد مخالفة</t>
  </si>
  <si>
    <t>بند مرجعي أو خارج النطاق — لم يخضع للتدقيق</t>
  </si>
  <si>
    <t>4. الفجوات المُرحَّلة حسب الأولوية وحالة معالجتها</t>
  </si>
  <si>
    <t>عدد الفجوات</t>
  </si>
  <si>
    <t>متأخر</t>
  </si>
  <si>
    <t>متوسط الإنجاز</t>
  </si>
  <si>
    <t>5. عبء الخطة حسب الإدارة المسؤولة</t>
  </si>
  <si>
    <t>عدد الإجراءات</t>
  </si>
  <si>
    <t>6. الفجوات الحرجة — أول 14 بالترتيب (العدد الكلي في المؤشر «منها حرجة» أعلاه)</t>
  </si>
  <si>
    <t>قراءة اللوحة: نسبة التطبيق وحدها لا تكفي. قارن «نسبة التطبيق» بعدد «عدم المطابقة» لكل مواصفة — فمواصفة بنسبة تطبيق مرتفعة وعدم مطابقات كثيرة تعني توثيقاً جيداً وتشغيلاً ضعيفاً، والعكس يعني تشغيلاً واقعياً غير موثَّق. وكلاهما يُعالَج بإجراء مختلف تماماً.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</si>
</sst>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0.0&quot;%&quot;"/>
  </numFmts>
  <fonts count="27" x14ac:knownFonts="1">
    <font>
      <sz val="11"/>
      <color theme="1"/>
      <name val="Arial"/>
      <family val="2"/>
      <scheme val="minor"/>
    </font>
    <font>
      <b/>
      <sz val="21"/>
      <color rgb="FF1A2E5E"/>
      <name val="Arial"/>
    </font>
    <font>
      <sz val="10.5"/>
      <color rgb="FF2EA67A"/>
      <name val="Arial"/>
    </font>
    <font>
      <b/>
      <sz val="11.5"/>
      <color rgb="FFC8A84B"/>
      <name val="Arial"/>
    </font>
    <font>
      <sz val="11"/>
      <color rgb="FF1A2E5E"/>
      <name val="Arial"/>
    </font>
    <font>
      <b/>
      <sz val="9.5"/>
      <color rgb="FFFFFFFF"/>
      <name val="Arial"/>
    </font>
    <font>
      <sz val="9.5"/>
      <name val="Arial"/>
    </font>
    <font>
      <b/>
      <sz val="9"/>
      <color rgb="FF8A1B1B"/>
      <name val="Arial"/>
    </font>
    <font>
      <sz val="8.5"/>
      <color rgb="FF4A4A4A"/>
      <name val="Arial"/>
    </font>
    <font>
      <b/>
      <sz val="13"/>
      <color rgb="FFFFFFFF"/>
      <name val="Arial"/>
    </font>
    <font>
      <i/>
      <sz val="9"/>
      <color rgb="FF1A2E5E"/>
      <name val="Arial"/>
    </font>
    <font>
      <b/>
      <sz val="11"/>
      <color rgb="FFFFFFFF"/>
      <name val="Arial"/>
    </font>
    <font>
      <b/>
      <sz val="10"/>
      <color rgb="FF1A2E5E"/>
      <name val="Arial"/>
    </font>
    <font>
      <sz val="9.5"/>
      <color rgb="FF1F2937"/>
      <name val="Arial"/>
    </font>
    <font>
      <b/>
      <sz val="9.5"/>
      <color rgb="FF8A6D1B"/>
      <name val="Arial"/>
    </font>
    <font>
      <sz val="9"/>
      <color rgb="FF1F2937"/>
      <name val="Arial"/>
    </font>
    <font>
      <b/>
      <sz val="8.5"/>
      <color rgb="FFFFFFFF"/>
      <name val="Arial"/>
    </font>
    <font>
      <sz val="8.5"/>
      <color rgb="FF1F2937"/>
      <name val="Arial"/>
    </font>
    <font>
      <b/>
      <sz val="9"/>
      <color rgb="FF8A6D1B"/>
      <name val="Arial"/>
    </font>
    <font>
      <sz val="8"/>
      <color rgb="FF1F2937"/>
      <name val="Arial"/>
    </font>
    <font>
      <sz val="7.5"/>
      <color rgb="FF1F2937"/>
      <name val="Arial"/>
    </font>
    <font>
      <b/>
      <sz val="10.5"/>
      <color rgb="FFFFFFFF"/>
      <name val="Arial"/>
    </font>
    <font>
      <b/>
      <sz val="9"/>
      <color rgb="FF1A2E5E"/>
      <name val="Arial"/>
    </font>
    <font>
      <b/>
      <sz val="17"/>
      <color rgb="FF1A2E5E"/>
      <name val="Arial"/>
    </font>
    <font>
      <b/>
      <sz val="8.5"/>
      <color rgb="FF1A2E5E"/>
      <name val="Arial"/>
    </font>
    <font>
      <b/>
      <sz val="9"/>
      <color rgb="FF1F2937"/>
      <name val="Arial"/>
    </font>
    <font>
      <b/>
      <sz val="9"/>
      <color rgb="FF1F4E79"/>
      <name val="Arial"/>
    </font>
  </fonts>
  <fills count="11">
    <fill>
      <patternFill patternType="none"/>
    </fill>
    <fill>
      <patternFill patternType="gray125"/>
    </fill>
    <fill>
      <patternFill patternType="solid">
        <fgColor rgb="FF1A2E5E"/>
      </patternFill>
    </fill>
    <fill>
      <patternFill patternType="solid">
        <fgColor rgb="FFFDECEA"/>
      </patternFill>
    </fill>
    <fill>
      <patternFill patternType="solid">
        <fgColor rgb="FFF2F4F7"/>
      </patternFill>
    </fill>
    <fill>
      <patternFill patternType="solid">
        <fgColor rgb="FFEAF0F7"/>
      </patternFill>
    </fill>
    <fill>
      <patternFill patternType="solid">
        <fgColor rgb="FFC8A84B"/>
      </patternFill>
    </fill>
    <fill>
      <patternFill patternType="solid">
        <fgColor rgb="FFFDF6E3"/>
      </patternFill>
    </fill>
    <fill>
      <patternFill patternType="solid">
        <fgColor rgb="FFEDF1F7"/>
      </patternFill>
    </fill>
    <fill>
      <patternFill patternType="solid">
        <fgColor rgb="FF2EA67A"/>
      </patternFill>
    </fill>
    <fill>
      <patternFill patternType="solid">
        <fgColor rgb="FFEEF4FD"/>
      </patternFill>
    </fill>
  </fills>
  <borders count="2">
    <border>
      <left/>
      <right/>
      <top/>
      <bottom/>
      <diagonal/>
    </border>
    <border>
      <left style="thin">
        <color rgb="FFBFC7D2"/>
      </left>
      <right style="thin">
        <color rgb="FFBFC7D2"/>
      </right>
      <top style="thin">
        <color rgb="FFBFC7D2"/>
      </top>
      <bottom style="thin">
        <color rgb="FFBFC7D2"/>
      </bottom>
      <diagonal/>
    </border>
  </borders>
  <cellStyleXfs count="1">
    <xf numFmtId="0" fontId="0" fillId="0" borderId="0"/>
  </cellStyleXfs>
  <cellXfs count="44">
    <xf numFmtId="0" fontId="0" fillId="0" borderId="0" xfId="0"/>
    <xf numFmtId="0" fontId="5" fillId="2"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12" fillId="5" borderId="1" xfId="0" applyFont="1" applyFill="1" applyBorder="1" applyAlignment="1">
      <alignment horizontal="right" vertical="center" wrapText="1"/>
    </xf>
    <xf numFmtId="0" fontId="13" fillId="0" borderId="1" xfId="0" applyFont="1" applyBorder="1" applyAlignment="1">
      <alignment horizontal="right" vertical="center" wrapText="1"/>
    </xf>
    <xf numFmtId="0" fontId="11" fillId="6" borderId="1" xfId="0" applyFont="1" applyFill="1" applyBorder="1" applyAlignment="1">
      <alignment horizontal="center" vertical="center"/>
    </xf>
    <xf numFmtId="0" fontId="14" fillId="7" borderId="1" xfId="0" applyFont="1" applyFill="1" applyBorder="1" applyAlignment="1">
      <alignment horizontal="right" vertical="center" wrapText="1"/>
    </xf>
    <xf numFmtId="0" fontId="15" fillId="0" borderId="1" xfId="0" applyFont="1" applyBorder="1" applyAlignment="1">
      <alignment horizontal="right" vertical="center" wrapText="1"/>
    </xf>
    <xf numFmtId="0" fontId="16" fillId="2" borderId="1" xfId="0" applyFont="1" applyFill="1" applyBorder="1" applyAlignment="1">
      <alignment horizontal="center" vertical="center" wrapText="1"/>
    </xf>
    <xf numFmtId="0" fontId="17" fillId="5"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17" fillId="0" borderId="1" xfId="0" applyFont="1" applyBorder="1" applyAlignment="1">
      <alignment horizontal="center" vertical="center"/>
    </xf>
    <xf numFmtId="0" fontId="17" fillId="0" borderId="1" xfId="0" applyFont="1" applyBorder="1" applyAlignment="1">
      <alignment horizontal="right" vertical="center" wrapText="1"/>
    </xf>
    <xf numFmtId="0" fontId="19" fillId="0" borderId="1" xfId="0" applyFont="1" applyBorder="1" applyAlignment="1">
      <alignment horizontal="right" vertical="center" wrapText="1"/>
    </xf>
    <xf numFmtId="0" fontId="20" fillId="0" borderId="1" xfId="0" applyFont="1" applyBorder="1" applyAlignment="1">
      <alignment horizontal="center" vertical="center" wrapText="1"/>
    </xf>
    <xf numFmtId="0" fontId="17" fillId="8" borderId="1" xfId="0" applyFont="1" applyFill="1" applyBorder="1" applyAlignment="1">
      <alignment horizontal="center" vertical="center"/>
    </xf>
    <xf numFmtId="164" fontId="17" fillId="0" borderId="1" xfId="0" applyNumberFormat="1" applyFont="1" applyBorder="1" applyAlignment="1">
      <alignment horizontal="center" vertical="center"/>
    </xf>
    <xf numFmtId="0" fontId="17" fillId="8" borderId="1" xfId="0" applyFont="1" applyFill="1" applyBorder="1" applyAlignment="1">
      <alignment horizontal="center" vertical="center" wrapText="1"/>
    </xf>
    <xf numFmtId="0" fontId="19" fillId="8" borderId="1" xfId="0" applyFont="1" applyFill="1" applyBorder="1" applyAlignment="1">
      <alignment horizontal="right" vertical="center" wrapText="1"/>
    </xf>
    <xf numFmtId="0" fontId="17" fillId="4" borderId="1" xfId="0" applyFont="1" applyFill="1" applyBorder="1" applyAlignment="1">
      <alignment horizontal="right" vertical="center"/>
    </xf>
    <xf numFmtId="0" fontId="24" fillId="5" borderId="1" xfId="0" applyFont="1" applyFill="1" applyBorder="1" applyAlignment="1">
      <alignment horizontal="right" vertical="center" wrapText="1"/>
    </xf>
    <xf numFmtId="165" fontId="17" fillId="0" borderId="1" xfId="0" applyNumberFormat="1" applyFont="1" applyBorder="1" applyAlignment="1">
      <alignment horizontal="center" vertical="center"/>
    </xf>
    <xf numFmtId="0" fontId="25" fillId="0" borderId="1" xfId="0" applyFont="1" applyBorder="1" applyAlignment="1">
      <alignment horizontal="center" vertical="center" wrapText="1"/>
    </xf>
    <xf numFmtId="0" fontId="25" fillId="0" borderId="1" xfId="0" applyFont="1" applyBorder="1" applyAlignment="1">
      <alignment horizontal="center" vertical="center"/>
    </xf>
    <xf numFmtId="0" fontId="17" fillId="5" borderId="1" xfId="0" applyFont="1" applyFill="1" applyBorder="1" applyAlignment="1">
      <alignment horizontal="right" vertical="center" wrapText="1"/>
    </xf>
    <xf numFmtId="0" fontId="19" fillId="0" borderId="1" xfId="0" applyFont="1" applyBorder="1" applyAlignment="1">
      <alignment horizontal="center" vertical="center" wrapText="1"/>
    </xf>
    <xf numFmtId="0" fontId="6" fillId="0" borderId="1" xfId="0" applyFont="1" applyBorder="1" applyAlignment="1">
      <alignment horizontal="right" vertical="center" wrapText="1"/>
    </xf>
    <xf numFmtId="0" fontId="0" fillId="0" borderId="1" xfId="0" applyBorder="1"/>
    <xf numFmtId="0" fontId="2" fillId="0" borderId="0" xfId="0" applyFont="1" applyAlignment="1">
      <alignment horizontal="center" vertical="center" wrapText="1"/>
    </xf>
    <xf numFmtId="0" fontId="0" fillId="0" borderId="0" xfId="0"/>
    <xf numFmtId="0" fontId="8" fillId="4" borderId="1" xfId="0" applyFont="1" applyFill="1" applyBorder="1" applyAlignment="1">
      <alignment horizontal="right" vertical="center" wrapText="1"/>
    </xf>
    <xf numFmtId="0" fontId="7" fillId="3" borderId="1" xfId="0" applyFont="1" applyFill="1" applyBorder="1" applyAlignment="1">
      <alignment horizontal="right" vertical="center" wrapText="1"/>
    </xf>
    <xf numFmtId="0" fontId="4" fillId="0" borderId="0" xfId="0" applyFont="1" applyAlignment="1">
      <alignment horizontal="center" vertical="center" wrapText="1"/>
    </xf>
    <xf numFmtId="0" fontId="1" fillId="0" borderId="0" xfId="0" applyFont="1" applyAlignment="1">
      <alignment horizontal="center" vertical="center" wrapText="1"/>
    </xf>
    <xf numFmtId="0" fontId="3" fillId="0" borderId="0" xfId="0" applyFont="1" applyAlignment="1">
      <alignment horizontal="center" vertical="center" wrapText="1"/>
    </xf>
    <xf numFmtId="0" fontId="9" fillId="2" borderId="0" xfId="0" applyFont="1" applyFill="1" applyAlignment="1">
      <alignment horizontal="center" vertical="center"/>
    </xf>
    <xf numFmtId="0" fontId="10" fillId="5" borderId="0" xfId="0" applyFont="1" applyFill="1" applyAlignment="1">
      <alignment horizontal="center" vertical="center" wrapText="1"/>
    </xf>
    <xf numFmtId="0" fontId="18" fillId="7" borderId="1" xfId="0" applyFont="1" applyFill="1" applyBorder="1" applyAlignment="1">
      <alignment horizontal="right" vertical="center" wrapText="1"/>
    </xf>
    <xf numFmtId="0" fontId="21" fillId="9" borderId="0" xfId="0" applyFont="1" applyFill="1" applyAlignment="1">
      <alignment horizontal="right" vertical="center" indent="1"/>
    </xf>
    <xf numFmtId="165" fontId="23" fillId="0" borderId="1" xfId="0" applyNumberFormat="1" applyFont="1" applyBorder="1" applyAlignment="1">
      <alignment horizontal="center" vertical="center"/>
    </xf>
    <xf numFmtId="1" fontId="23" fillId="0" borderId="1" xfId="0" applyNumberFormat="1" applyFont="1" applyBorder="1" applyAlignment="1">
      <alignment horizontal="center" vertical="center"/>
    </xf>
    <xf numFmtId="0" fontId="22" fillId="5" borderId="1" xfId="0" applyFont="1" applyFill="1" applyBorder="1" applyAlignment="1">
      <alignment horizontal="center" vertical="center" wrapText="1"/>
    </xf>
    <xf numFmtId="0" fontId="17" fillId="0" borderId="1" xfId="0" applyFont="1" applyBorder="1" applyAlignment="1">
      <alignment horizontal="right" vertical="center" wrapText="1"/>
    </xf>
    <xf numFmtId="0" fontId="26" fillId="10" borderId="1" xfId="0" applyFont="1" applyFill="1" applyBorder="1" applyAlignment="1">
      <alignment horizontal="right" vertical="center" wrapText="1"/>
    </xf>
  </cellXfs>
  <cellStyles count="1">
    <cellStyle name="Normal" xfId="0" builtinId="0"/>
  </cellStyles>
  <dxfs count="131">
    <dxf>
      <font>
        <sz val="8.5"/>
        <color rgb="FF4A4A4A"/>
        <name val="Arial"/>
      </font>
      <fill>
        <patternFill patternType="solid">
          <fgColor rgb="FFEDEDED"/>
        </patternFill>
      </fill>
    </dxf>
    <dxf>
      <font>
        <sz val="8.5"/>
        <color rgb="FF8A6D1B"/>
        <name val="Arial"/>
      </font>
      <fill>
        <patternFill patternType="solid">
          <fgColor rgb="FFFFF2CC"/>
        </patternFill>
      </fill>
    </dxf>
    <dxf>
      <font>
        <b/>
        <sz val="8.5"/>
        <color rgb="FF8A1B1B"/>
        <name val="Arial"/>
      </font>
      <fill>
        <patternFill patternType="solid">
          <fgColor rgb="FFF8CECC"/>
        </patternFill>
      </fill>
    </dxf>
    <dxf>
      <font>
        <sz val="8.5"/>
        <color rgb="FF4A4A4A"/>
        <name val="Arial"/>
      </font>
      <fill>
        <patternFill patternType="solid">
          <fgColor rgb="FFEDEDED"/>
        </patternFill>
      </fill>
    </dxf>
    <dxf>
      <font>
        <sz val="8.5"/>
        <color rgb="FF1F4E79"/>
        <name val="Arial"/>
      </font>
      <fill>
        <patternFill patternType="solid">
          <fgColor rgb="FFDAE8FC"/>
        </patternFill>
      </fill>
    </dxf>
    <dxf>
      <font>
        <sz val="8.5"/>
        <color rgb="FF1F5C2E"/>
        <name val="Arial"/>
      </font>
      <fill>
        <patternFill patternType="solid">
          <fgColor rgb="FFD5E8D4"/>
        </patternFill>
      </fill>
    </dxf>
    <dxf>
      <font>
        <sz val="8.5"/>
        <color rgb="FF4A4A4A"/>
        <name val="Arial"/>
      </font>
      <fill>
        <patternFill patternType="solid">
          <fgColor rgb="FFEDEDED"/>
        </patternFill>
      </fill>
    </dxf>
    <dxf>
      <font>
        <sz val="8.5"/>
        <color rgb="FF1F5C2E"/>
        <name val="Arial"/>
      </font>
      <fill>
        <patternFill patternType="solid">
          <fgColor rgb="FFD5E8D4"/>
        </patternFill>
      </fill>
    </dxf>
    <dxf>
      <font>
        <sz val="8.5"/>
        <color rgb="FF0E6655"/>
        <name val="Arial"/>
      </font>
      <fill>
        <patternFill patternType="solid">
          <fgColor rgb="FFD0F0EC"/>
        </patternFill>
      </fill>
    </dxf>
    <dxf>
      <font>
        <sz val="8.5"/>
        <color rgb="FF8A6D1B"/>
        <name val="Arial"/>
      </font>
      <fill>
        <patternFill patternType="solid">
          <fgColor rgb="FFFFF2CC"/>
        </patternFill>
      </fill>
    </dxf>
    <dxf>
      <font>
        <sz val="8.5"/>
        <color rgb="FF922B21"/>
        <name val="Arial"/>
      </font>
      <fill>
        <patternFill patternType="solid">
          <fgColor rgb="FFFADBD8"/>
        </patternFill>
      </fill>
    </dxf>
    <dxf>
      <font>
        <b/>
        <sz val="8.5"/>
        <color rgb="FF8A1B1B"/>
        <name val="Arial"/>
      </font>
      <fill>
        <patternFill patternType="solid">
          <fgColor rgb="FFF8CECC"/>
        </patternFill>
      </fill>
    </dxf>
    <dxf>
      <font>
        <sz val="8.5"/>
        <color rgb="FF1F4E79"/>
        <name val="Arial"/>
      </font>
      <fill>
        <patternFill patternType="solid">
          <fgColor rgb="FFDAE8FC"/>
        </patternFill>
      </fill>
    </dxf>
    <dxf>
      <font>
        <sz val="8.5"/>
        <color rgb="FF8A6D1B"/>
        <name val="Arial"/>
      </font>
      <fill>
        <patternFill patternType="solid">
          <fgColor rgb="FFFFF2CC"/>
        </patternFill>
      </fill>
    </dxf>
    <dxf>
      <font>
        <sz val="8.5"/>
        <color rgb="FF8A5A20"/>
        <name val="Arial"/>
      </font>
      <fill>
        <patternFill patternType="solid">
          <fgColor rgb="FFFFE6CC"/>
        </patternFill>
      </fill>
    </dxf>
    <dxf>
      <font>
        <b/>
        <sz val="8.5"/>
        <color rgb="FF8A1B1B"/>
        <name val="Arial"/>
      </font>
      <fill>
        <patternFill patternType="solid">
          <fgColor rgb="FFF8CECC"/>
        </patternFill>
      </fill>
    </dxf>
    <dxf>
      <font>
        <sz val="8.5"/>
        <color rgb="FF4A4A4A"/>
        <name val="Arial"/>
      </font>
      <fill>
        <patternFill patternType="solid">
          <fgColor rgb="FFEDEDED"/>
        </patternFill>
      </fill>
    </dxf>
    <dxf>
      <font>
        <sz val="8.5"/>
        <color rgb="FF0E6655"/>
        <name val="Arial"/>
      </font>
      <fill>
        <patternFill patternType="solid">
          <fgColor rgb="FFD0F0EC"/>
        </patternFill>
      </fill>
    </dxf>
    <dxf>
      <font>
        <sz val="8.5"/>
        <color rgb="FF8A6D1B"/>
        <name val="Arial"/>
      </font>
      <fill>
        <patternFill patternType="solid">
          <fgColor rgb="FFFFF2CC"/>
        </patternFill>
      </fill>
    </dxf>
    <dxf>
      <font>
        <sz val="8.5"/>
        <color rgb="FF922B21"/>
        <name val="Arial"/>
      </font>
      <fill>
        <patternFill patternType="solid">
          <fgColor rgb="FFFADBD8"/>
        </patternFill>
      </fill>
    </dxf>
    <dxf>
      <font>
        <b/>
        <sz val="8.5"/>
        <color rgb="FF8A1B1B"/>
        <name val="Arial"/>
      </font>
      <fill>
        <patternFill patternType="solid">
          <fgColor rgb="FFF8CECC"/>
        </patternFill>
      </fill>
    </dxf>
    <dxf>
      <font>
        <sz val="8.5"/>
        <color rgb="FF1F5C2E"/>
        <name val="Arial"/>
      </font>
      <fill>
        <patternFill patternType="solid">
          <fgColor rgb="FFD5E8D4"/>
        </patternFill>
      </fill>
    </dxf>
    <dxf>
      <font>
        <sz val="8.5"/>
        <color rgb="FF8A6D1B"/>
        <name val="Arial"/>
      </font>
      <fill>
        <patternFill patternType="solid">
          <fgColor rgb="FFFFF2CC"/>
        </patternFill>
      </fill>
    </dxf>
    <dxf>
      <font>
        <b/>
        <sz val="8.5"/>
        <color rgb="FF8A1B1B"/>
        <name val="Arial"/>
      </font>
      <fill>
        <patternFill patternType="solid">
          <fgColor rgb="FFF8CECC"/>
        </patternFill>
      </fill>
    </dxf>
    <dxf>
      <font>
        <sz val="8.5"/>
        <color rgb="FF1F5C2E"/>
        <name val="Arial"/>
      </font>
      <fill>
        <patternFill patternType="solid">
          <fgColor rgb="FFD5E8D4"/>
        </patternFill>
      </fill>
    </dxf>
    <dxf>
      <font>
        <sz val="8.5"/>
        <color rgb="FF8A5A20"/>
        <name val="Arial"/>
      </font>
      <fill>
        <patternFill patternType="solid">
          <fgColor rgb="FFFFE6CC"/>
        </patternFill>
      </fill>
    </dxf>
    <dxf>
      <font>
        <sz val="8.5"/>
        <color rgb="FF5B2C6F"/>
        <name val="Arial"/>
      </font>
      <fill>
        <patternFill patternType="solid">
          <fgColor rgb="FFE1D5E7"/>
        </patternFill>
      </fill>
    </dxf>
    <dxf>
      <font>
        <sz val="8.5"/>
        <color rgb="FF0E6655"/>
        <name val="Arial"/>
      </font>
      <fill>
        <patternFill patternType="solid">
          <fgColor rgb="FFD0F0EC"/>
        </patternFill>
      </fill>
    </dxf>
    <dxf>
      <font>
        <sz val="8.5"/>
        <color rgb="FF1F4E79"/>
        <name val="Arial"/>
      </font>
      <fill>
        <patternFill patternType="solid">
          <fgColor rgb="FFDAE8FC"/>
        </patternFill>
      </fill>
    </dxf>
    <dxf>
      <font>
        <sz val="8.5"/>
        <color rgb="FF4A4A4A"/>
        <name val="Arial"/>
      </font>
      <fill>
        <patternFill patternType="solid">
          <fgColor rgb="FFEDEDED"/>
        </patternFill>
      </fill>
    </dxf>
    <dxf>
      <font>
        <sz val="8.5"/>
        <color rgb="FF922B21"/>
        <name val="Arial"/>
      </font>
      <fill>
        <patternFill patternType="solid">
          <fgColor rgb="FFFADBD8"/>
        </patternFill>
      </fill>
    </dxf>
    <dxf>
      <font>
        <sz val="8.5"/>
        <color rgb="FF4F6B1E"/>
        <name val="Arial"/>
      </font>
      <fill>
        <patternFill patternType="solid">
          <fgColor rgb="FFE8F5C8"/>
        </patternFill>
      </fill>
    </dxf>
    <dxf>
      <font>
        <sz val="8.5"/>
        <color rgb="FF8A5A20"/>
        <name val="Arial"/>
      </font>
      <fill>
        <patternFill patternType="solid">
          <fgColor rgb="FFFFE6CC"/>
        </patternFill>
      </fill>
    </dxf>
    <dxf>
      <font>
        <sz val="8.5"/>
        <color rgb="FF5B2C6F"/>
        <name val="Arial"/>
      </font>
      <fill>
        <patternFill patternType="solid">
          <fgColor rgb="FFE1D5E7"/>
        </patternFill>
      </fill>
    </dxf>
    <dxf>
      <font>
        <sz val="8.5"/>
        <color rgb="FF0E6655"/>
        <name val="Arial"/>
      </font>
      <fill>
        <patternFill patternType="solid">
          <fgColor rgb="FFD0F0EC"/>
        </patternFill>
      </fill>
    </dxf>
    <dxf>
      <font>
        <sz val="8.5"/>
        <color rgb="FF1F4E79"/>
        <name val="Arial"/>
      </font>
      <fill>
        <patternFill patternType="solid">
          <fgColor rgb="FFDAE8FC"/>
        </patternFill>
      </fill>
    </dxf>
    <dxf>
      <font>
        <sz val="8.5"/>
        <color rgb="FF922B21"/>
        <name val="Arial"/>
      </font>
      <fill>
        <patternFill patternType="solid">
          <fgColor rgb="FFFADBD8"/>
        </patternFill>
      </fill>
    </dxf>
    <dxf>
      <font>
        <sz val="8.5"/>
        <color rgb="FF4F6B1E"/>
        <name val="Arial"/>
      </font>
      <fill>
        <patternFill patternType="solid">
          <fgColor rgb="FFE8F5C8"/>
        </patternFill>
      </fill>
    </dxf>
    <dxf>
      <font>
        <sz val="8.5"/>
        <color rgb="FF8A5A20"/>
        <name val="Arial"/>
      </font>
      <fill>
        <patternFill patternType="solid">
          <fgColor rgb="FFFFE6CC"/>
        </patternFill>
      </fill>
    </dxf>
    <dxf>
      <font>
        <sz val="8.5"/>
        <color rgb="FF5B2C6F"/>
        <name val="Arial"/>
      </font>
      <fill>
        <patternFill patternType="solid">
          <fgColor rgb="FFE1D5E7"/>
        </patternFill>
      </fill>
    </dxf>
    <dxf>
      <font>
        <sz val="8.5"/>
        <color rgb="FF0E6655"/>
        <name val="Arial"/>
      </font>
      <fill>
        <patternFill patternType="solid">
          <fgColor rgb="FFD0F0EC"/>
        </patternFill>
      </fill>
    </dxf>
    <dxf>
      <font>
        <sz val="8.5"/>
        <color rgb="FF1F4E79"/>
        <name val="Arial"/>
      </font>
      <fill>
        <patternFill patternType="solid">
          <fgColor rgb="FFDAE8FC"/>
        </patternFill>
      </fill>
    </dxf>
    <dxf>
      <font>
        <sz val="8.5"/>
        <color rgb="FF8A5A20"/>
        <name val="Arial"/>
      </font>
      <fill>
        <patternFill patternType="solid">
          <fgColor rgb="FFFFE6CC"/>
        </patternFill>
      </fill>
    </dxf>
    <dxf>
      <font>
        <sz val="8.5"/>
        <color rgb="FF5B2C6F"/>
        <name val="Arial"/>
      </font>
      <fill>
        <patternFill patternType="solid">
          <fgColor rgb="FFE1D5E7"/>
        </patternFill>
      </fill>
    </dxf>
    <dxf>
      <font>
        <sz val="8.5"/>
        <color rgb="FF0E6655"/>
        <name val="Arial"/>
      </font>
      <fill>
        <patternFill patternType="solid">
          <fgColor rgb="FFD0F0EC"/>
        </patternFill>
      </fill>
    </dxf>
    <dxf>
      <font>
        <sz val="8.5"/>
        <color rgb="FF1F4E79"/>
        <name val="Arial"/>
      </font>
      <fill>
        <patternFill patternType="solid">
          <fgColor rgb="FFDAE8FC"/>
        </patternFill>
      </fill>
    </dxf>
    <dxf>
      <font>
        <sz val="8.5"/>
        <color rgb="FF4A4A4A"/>
        <name val="Arial"/>
      </font>
      <fill>
        <patternFill patternType="solid">
          <fgColor rgb="FFEDEDED"/>
        </patternFill>
      </fill>
    </dxf>
    <dxf>
      <font>
        <sz val="8.5"/>
        <color rgb="FF1F4E79"/>
        <name val="Arial"/>
      </font>
      <fill>
        <patternFill patternType="solid">
          <fgColor rgb="FFDAE8FC"/>
        </patternFill>
      </fill>
    </dxf>
    <dxf>
      <font>
        <sz val="8.5"/>
        <color rgb="FF1F5C2E"/>
        <name val="Arial"/>
      </font>
      <fill>
        <patternFill patternType="solid">
          <fgColor rgb="FFD5E8D4"/>
        </patternFill>
      </fill>
    </dxf>
    <dxf>
      <font>
        <b/>
        <sz val="8.5"/>
        <color rgb="FF8A1B1B"/>
        <name val="Arial"/>
      </font>
      <fill>
        <patternFill patternType="solid">
          <fgColor rgb="FFF8CECC"/>
        </patternFill>
      </fill>
    </dxf>
    <dxf>
      <font>
        <sz val="8.5"/>
        <color rgb="FF8A6D1B"/>
        <name val="Arial"/>
      </font>
      <fill>
        <patternFill patternType="solid">
          <fgColor rgb="FFFFF2CC"/>
        </patternFill>
      </fill>
    </dxf>
    <dxf>
      <font>
        <sz val="8.5"/>
        <color rgb="FF4A4A4A"/>
        <name val="Arial"/>
      </font>
      <fill>
        <patternFill patternType="solid">
          <fgColor rgb="FFEDEDED"/>
        </patternFill>
      </fill>
    </dxf>
    <dxf>
      <font>
        <b/>
        <sz val="8.5"/>
        <color rgb="FF8A1B1B"/>
        <name val="Arial"/>
      </font>
      <fill>
        <patternFill patternType="solid">
          <fgColor rgb="FFF8CECC"/>
        </patternFill>
      </fill>
    </dxf>
    <dxf>
      <font>
        <sz val="8.5"/>
        <color rgb="FF1F5C2E"/>
        <name val="Arial"/>
      </font>
      <fill>
        <patternFill patternType="solid">
          <fgColor rgb="FFD5E8D4"/>
        </patternFill>
      </fill>
    </dxf>
    <dxf>
      <font>
        <sz val="8.5"/>
        <color rgb="FF0E6655"/>
        <name val="Arial"/>
      </font>
      <fill>
        <patternFill patternType="solid">
          <fgColor rgb="FFD0F0EC"/>
        </patternFill>
      </fill>
    </dxf>
    <dxf>
      <font>
        <sz val="8.5"/>
        <color rgb="FF1F4E79"/>
        <name val="Arial"/>
      </font>
      <fill>
        <patternFill patternType="solid">
          <fgColor rgb="FFDAE8FC"/>
        </patternFill>
      </fill>
    </dxf>
    <dxf>
      <font>
        <sz val="8.5"/>
        <color rgb="FF5B2C6F"/>
        <name val="Arial"/>
      </font>
      <fill>
        <patternFill patternType="solid">
          <fgColor rgb="FFE1D5E7"/>
        </patternFill>
      </fill>
    </dxf>
    <dxf>
      <font>
        <sz val="8.5"/>
        <color rgb="FF8A5A20"/>
        <name val="Arial"/>
      </font>
      <fill>
        <patternFill patternType="solid">
          <fgColor rgb="FFFFE6CC"/>
        </patternFill>
      </fill>
    </dxf>
    <dxf>
      <font>
        <sz val="8.5"/>
        <color rgb="FF4F6B1E"/>
        <name val="Arial"/>
      </font>
      <fill>
        <patternFill patternType="solid">
          <fgColor rgb="FFE8F5C8"/>
        </patternFill>
      </fill>
    </dxf>
    <dxf>
      <font>
        <sz val="8.5"/>
        <color rgb="FF4A4A4A"/>
        <name val="Arial"/>
      </font>
      <fill>
        <patternFill patternType="solid">
          <fgColor rgb="FFEDEDED"/>
        </patternFill>
      </fill>
    </dxf>
    <dxf>
      <font>
        <sz val="8.5"/>
        <color rgb="FF1F4E79"/>
        <name val="Arial"/>
      </font>
      <fill>
        <patternFill patternType="solid">
          <fgColor rgb="FFDAE8FC"/>
        </patternFill>
      </fill>
    </dxf>
    <dxf>
      <font>
        <sz val="8.5"/>
        <color rgb="FF1F5C2E"/>
        <name val="Arial"/>
      </font>
      <fill>
        <patternFill patternType="solid">
          <fgColor rgb="FFD5E8D4"/>
        </patternFill>
      </fill>
    </dxf>
    <dxf>
      <font>
        <b/>
        <sz val="8.5"/>
        <color rgb="FF8A1B1B"/>
        <name val="Arial"/>
      </font>
      <fill>
        <patternFill patternType="solid">
          <fgColor rgb="FFF8CECC"/>
        </patternFill>
      </fill>
    </dxf>
    <dxf>
      <font>
        <sz val="8.5"/>
        <color rgb="FF8A6D1B"/>
        <name val="Arial"/>
      </font>
      <fill>
        <patternFill patternType="solid">
          <fgColor rgb="FFFFF2CC"/>
        </patternFill>
      </fill>
    </dxf>
    <dxf>
      <font>
        <sz val="8.5"/>
        <color rgb="FF0E6655"/>
        <name val="Arial"/>
      </font>
      <fill>
        <patternFill patternType="solid">
          <fgColor rgb="FFD0F0EC"/>
        </patternFill>
      </fill>
    </dxf>
    <dxf>
      <font>
        <sz val="8.5"/>
        <color rgb="FF5B2C6F"/>
        <name val="Arial"/>
      </font>
      <fill>
        <patternFill patternType="solid">
          <fgColor rgb="FFE1D5E7"/>
        </patternFill>
      </fill>
    </dxf>
    <dxf>
      <font>
        <sz val="8.5"/>
        <color rgb="FF8A5A20"/>
        <name val="Arial"/>
      </font>
      <fill>
        <patternFill patternType="solid">
          <fgColor rgb="FFFFE6CC"/>
        </patternFill>
      </fill>
    </dxf>
    <dxf>
      <font>
        <sz val="8.5"/>
        <color rgb="FF4F6B1E"/>
        <name val="Arial"/>
      </font>
      <fill>
        <patternFill patternType="solid">
          <fgColor rgb="FFE8F5C8"/>
        </patternFill>
      </fill>
    </dxf>
    <dxf>
      <font>
        <sz val="8.5"/>
        <color rgb="FF922B21"/>
        <name val="Arial"/>
      </font>
      <fill>
        <patternFill patternType="solid">
          <fgColor rgb="FFFADBD8"/>
        </patternFill>
      </fill>
    </dxf>
    <dxf>
      <font>
        <sz val="8.5"/>
        <color rgb="FF1F4E79"/>
        <name val="Arial"/>
      </font>
      <fill>
        <patternFill patternType="solid">
          <fgColor rgb="FFDAE8FC"/>
        </patternFill>
      </fill>
    </dxf>
    <dxf>
      <font>
        <sz val="8.5"/>
        <color rgb="FF1F5C2E"/>
        <name val="Arial"/>
      </font>
      <fill>
        <patternFill patternType="solid">
          <fgColor rgb="FFD5E8D4"/>
        </patternFill>
      </fill>
    </dxf>
    <dxf>
      <font>
        <sz val="8.5"/>
        <color rgb="FF4F6B1E"/>
        <name val="Arial"/>
      </font>
      <fill>
        <patternFill patternType="solid">
          <fgColor rgb="FFE8F5C8"/>
        </patternFill>
      </fill>
    </dxf>
    <dxf>
      <font>
        <sz val="8.5"/>
        <color rgb="FF8A5A20"/>
        <name val="Arial"/>
      </font>
      <fill>
        <patternFill patternType="solid">
          <fgColor rgb="FFFFE6CC"/>
        </patternFill>
      </fill>
    </dxf>
    <dxf>
      <font>
        <sz val="8.5"/>
        <color rgb="FF0E6655"/>
        <name val="Arial"/>
      </font>
      <fill>
        <patternFill patternType="solid">
          <fgColor rgb="FFD0F0EC"/>
        </patternFill>
      </fill>
    </dxf>
    <dxf>
      <font>
        <sz val="8.5"/>
        <color rgb="FF1F4E79"/>
        <name val="Arial"/>
      </font>
      <fill>
        <patternFill patternType="solid">
          <fgColor rgb="FFDAE8FC"/>
        </patternFill>
      </fill>
    </dxf>
    <dxf>
      <font>
        <b/>
        <sz val="8.5"/>
        <color rgb="FF8A1B1B"/>
        <name val="Arial"/>
      </font>
      <fill>
        <patternFill patternType="solid">
          <fgColor rgb="FFF8CECC"/>
        </patternFill>
      </fill>
    </dxf>
    <dxf>
      <font>
        <b/>
        <sz val="8.5"/>
        <color rgb="FF8A1B1B"/>
        <name val="Arial"/>
      </font>
      <fill>
        <patternFill patternType="solid">
          <fgColor rgb="FFF8CECC"/>
        </patternFill>
      </fill>
    </dxf>
    <dxf>
      <font>
        <sz val="8.5"/>
        <color rgb="FF8A5A20"/>
        <name val="Arial"/>
      </font>
      <fill>
        <patternFill patternType="solid">
          <fgColor rgb="FFFFE6CC"/>
        </patternFill>
      </fill>
    </dxf>
    <dxf>
      <font>
        <sz val="8.5"/>
        <color rgb="FF1F4E79"/>
        <name val="Arial"/>
      </font>
      <fill>
        <patternFill patternType="solid">
          <fgColor rgb="FFDAE8FC"/>
        </patternFill>
      </fill>
    </dxf>
    <dxf>
      <font>
        <sz val="8.5"/>
        <color rgb="FF8A6D1B"/>
        <name val="Arial"/>
      </font>
      <fill>
        <patternFill patternType="solid">
          <fgColor rgb="FFFFF2CC"/>
        </patternFill>
      </fill>
    </dxf>
    <dxf>
      <font>
        <b/>
        <sz val="8.5"/>
        <color rgb="FF8A1B1B"/>
        <name val="Arial"/>
      </font>
      <fill>
        <patternFill patternType="solid">
          <fgColor rgb="FFF8CECC"/>
        </patternFill>
      </fill>
    </dxf>
    <dxf>
      <font>
        <sz val="8.5"/>
        <color rgb="FF922B21"/>
        <name val="Arial"/>
      </font>
      <fill>
        <patternFill patternType="solid">
          <fgColor rgb="FFFADBD8"/>
        </patternFill>
      </fill>
    </dxf>
    <dxf>
      <font>
        <sz val="8.5"/>
        <color rgb="FF8A6D1B"/>
        <name val="Arial"/>
      </font>
      <fill>
        <patternFill patternType="solid">
          <fgColor rgb="FFFFF2CC"/>
        </patternFill>
      </fill>
    </dxf>
    <dxf>
      <font>
        <sz val="8.5"/>
        <color rgb="FF0E6655"/>
        <name val="Arial"/>
      </font>
      <fill>
        <patternFill patternType="solid">
          <fgColor rgb="FFD0F0EC"/>
        </patternFill>
      </fill>
    </dxf>
    <dxf>
      <font>
        <sz val="8.5"/>
        <color rgb="FF1F5C2E"/>
        <name val="Arial"/>
      </font>
      <fill>
        <patternFill patternType="solid">
          <fgColor rgb="FFD5E8D4"/>
        </patternFill>
      </fill>
    </dxf>
    <dxf>
      <font>
        <sz val="8.5"/>
        <color rgb="FF8A6D1B"/>
        <name val="Arial"/>
      </font>
      <fill>
        <patternFill patternType="solid">
          <fgColor rgb="FFFFF2CC"/>
        </patternFill>
      </fill>
    </dxf>
    <dxf>
      <font>
        <sz val="8.5"/>
        <color rgb="FF1F5C2E"/>
        <name val="Arial"/>
      </font>
      <fill>
        <patternFill patternType="solid">
          <fgColor rgb="FFD5E8D4"/>
        </patternFill>
      </fill>
    </dxf>
    <dxf>
      <font>
        <b/>
        <sz val="8.5"/>
        <color rgb="FF8A1B1B"/>
        <name val="Arial"/>
      </font>
      <fill>
        <patternFill patternType="solid">
          <fgColor rgb="FFF8CECC"/>
        </patternFill>
      </fill>
    </dxf>
    <dxf>
      <font>
        <sz val="8.5"/>
        <color rgb="FF5B2C6F"/>
        <name val="Arial"/>
      </font>
      <fill>
        <patternFill patternType="solid">
          <fgColor rgb="FFE1D5E7"/>
        </patternFill>
      </fill>
    </dxf>
    <dxf>
      <font>
        <b/>
        <sz val="8.5"/>
        <color rgb="FF8A1B1B"/>
        <name val="Arial"/>
      </font>
      <fill>
        <patternFill patternType="solid">
          <fgColor rgb="FFF8CECC"/>
        </patternFill>
      </fill>
    </dxf>
    <dxf>
      <font>
        <sz val="8.5"/>
        <color rgb="FF1F4E79"/>
        <name val="Arial"/>
      </font>
      <fill>
        <patternFill patternType="solid">
          <fgColor rgb="FFDAE8FC"/>
        </patternFill>
      </fill>
    </dxf>
    <dxf>
      <font>
        <b/>
        <sz val="8.5"/>
        <color rgb="FF8A1B1B"/>
        <name val="Arial"/>
      </font>
      <fill>
        <patternFill patternType="solid">
          <fgColor rgb="FFF8CECC"/>
        </patternFill>
      </fill>
    </dxf>
    <dxf>
      <font>
        <sz val="8.5"/>
        <color rgb="FF4A4A4A"/>
        <name val="Arial"/>
      </font>
      <fill>
        <patternFill patternType="solid">
          <fgColor rgb="FFEDEDED"/>
        </patternFill>
      </fill>
    </dxf>
    <dxf>
      <font>
        <sz val="8.5"/>
        <color rgb="FF1F4E79"/>
        <name val="Arial"/>
      </font>
      <fill>
        <patternFill patternType="solid">
          <fgColor rgb="FFDAE8FC"/>
        </patternFill>
      </fill>
    </dxf>
    <dxf>
      <font>
        <sz val="8.5"/>
        <color rgb="FF8A6D1B"/>
        <name val="Arial"/>
      </font>
      <fill>
        <patternFill patternType="solid">
          <fgColor rgb="FFFFF2CC"/>
        </patternFill>
      </fill>
    </dxf>
    <dxf>
      <font>
        <sz val="8.5"/>
        <color rgb="FF8A5A20"/>
        <name val="Arial"/>
      </font>
      <fill>
        <patternFill patternType="solid">
          <fgColor rgb="FFFFE6CC"/>
        </patternFill>
      </fill>
    </dxf>
    <dxf>
      <font>
        <b/>
        <sz val="8.5"/>
        <color rgb="FF8A1B1B"/>
        <name val="Arial"/>
      </font>
      <fill>
        <patternFill patternType="solid">
          <fgColor rgb="FFF8CECC"/>
        </patternFill>
      </fill>
    </dxf>
    <dxf>
      <font>
        <sz val="8.5"/>
        <color rgb="FF4A4A4A"/>
        <name val="Arial"/>
      </font>
      <fill>
        <patternFill patternType="solid">
          <fgColor rgb="FFEDEDED"/>
        </patternFill>
      </fill>
    </dxf>
    <dxf>
      <font>
        <b/>
        <sz val="8.5"/>
        <color rgb="FF8A1B1B"/>
        <name val="Arial"/>
      </font>
      <fill>
        <patternFill patternType="solid">
          <fgColor rgb="FFF8CECC"/>
        </patternFill>
      </fill>
    </dxf>
    <dxf>
      <font>
        <sz val="8.5"/>
        <color rgb="FF5B2C6F"/>
        <name val="Arial"/>
      </font>
      <fill>
        <patternFill patternType="solid">
          <fgColor rgb="FFE1D5E7"/>
        </patternFill>
      </fill>
    </dxf>
    <dxf>
      <font>
        <sz val="8.5"/>
        <color rgb="FF1F4E79"/>
        <name val="Arial"/>
      </font>
      <fill>
        <patternFill patternType="solid">
          <fgColor rgb="FFDAE8FC"/>
        </patternFill>
      </fill>
    </dxf>
    <dxf>
      <font>
        <sz val="8.5"/>
        <color rgb="FF1F5C2E"/>
        <name val="Arial"/>
      </font>
      <fill>
        <patternFill patternType="solid">
          <fgColor rgb="FFD5E8D4"/>
        </patternFill>
      </fill>
    </dxf>
    <dxf>
      <font>
        <b/>
        <sz val="8.5"/>
        <color rgb="FF8A1B1B"/>
        <name val="Arial"/>
      </font>
      <fill>
        <patternFill patternType="solid">
          <fgColor rgb="FFF8CECC"/>
        </patternFill>
      </fill>
    </dxf>
    <dxf>
      <font>
        <sz val="8.5"/>
        <color rgb="FF8A5A20"/>
        <name val="Arial"/>
      </font>
      <fill>
        <patternFill patternType="solid">
          <fgColor rgb="FFFFE6CC"/>
        </patternFill>
      </fill>
    </dxf>
    <dxf>
      <font>
        <sz val="8.5"/>
        <color rgb="FF5B2C6F"/>
        <name val="Arial"/>
      </font>
      <fill>
        <patternFill patternType="solid">
          <fgColor rgb="FFE1D5E7"/>
        </patternFill>
      </fill>
    </dxf>
    <dxf>
      <font>
        <sz val="8.5"/>
        <color rgb="FF0E6655"/>
        <name val="Arial"/>
      </font>
      <fill>
        <patternFill patternType="solid">
          <fgColor rgb="FFD0F0EC"/>
        </patternFill>
      </fill>
    </dxf>
    <dxf>
      <font>
        <sz val="8.5"/>
        <color rgb="FF1F4E79"/>
        <name val="Arial"/>
      </font>
      <fill>
        <patternFill patternType="solid">
          <fgColor rgb="FFDAE8FC"/>
        </patternFill>
      </fill>
    </dxf>
    <dxf>
      <font>
        <sz val="8.5"/>
        <color rgb="FF4A4A4A"/>
        <name val="Arial"/>
      </font>
      <fill>
        <patternFill patternType="solid">
          <fgColor rgb="FFEDEDED"/>
        </patternFill>
      </fill>
    </dxf>
    <dxf>
      <font>
        <sz val="8.5"/>
        <color rgb="FF0E6655"/>
        <name val="Arial"/>
      </font>
      <fill>
        <patternFill patternType="solid">
          <fgColor rgb="FFD0F0EC"/>
        </patternFill>
      </fill>
    </dxf>
    <dxf>
      <font>
        <sz val="8.5"/>
        <color rgb="FF8A6D1B"/>
        <name val="Arial"/>
      </font>
      <fill>
        <patternFill patternType="solid">
          <fgColor rgb="FFFFF2CC"/>
        </patternFill>
      </fill>
    </dxf>
    <dxf>
      <font>
        <sz val="8.5"/>
        <color rgb="FF922B21"/>
        <name val="Arial"/>
      </font>
      <fill>
        <patternFill patternType="solid">
          <fgColor rgb="FFFADBD8"/>
        </patternFill>
      </fill>
    </dxf>
    <dxf>
      <font>
        <b/>
        <sz val="8.5"/>
        <color rgb="FF8A1B1B"/>
        <name val="Arial"/>
      </font>
      <fill>
        <patternFill patternType="solid">
          <fgColor rgb="FFF8CECC"/>
        </patternFill>
      </fill>
    </dxf>
    <dxf>
      <font>
        <sz val="8.5"/>
        <color rgb="FF1F5C2E"/>
        <name val="Arial"/>
      </font>
      <fill>
        <patternFill patternType="solid">
          <fgColor rgb="FFD5E8D4"/>
        </patternFill>
      </fill>
    </dxf>
    <dxf>
      <font>
        <b/>
        <sz val="8.5"/>
        <color rgb="FF8A1B1B"/>
        <name val="Arial"/>
      </font>
      <fill>
        <patternFill patternType="solid">
          <fgColor rgb="FFF8CECC"/>
        </patternFill>
      </fill>
    </dxf>
    <dxf>
      <font>
        <sz val="8.5"/>
        <color rgb="FF4F6B1E"/>
        <name val="Arial"/>
      </font>
      <fill>
        <patternFill patternType="solid">
          <fgColor rgb="FFE8F5C8"/>
        </patternFill>
      </fill>
    </dxf>
    <dxf>
      <font>
        <sz val="8.5"/>
        <color rgb="FF8A5A20"/>
        <name val="Arial"/>
      </font>
      <fill>
        <patternFill patternType="solid">
          <fgColor rgb="FFFFE6CC"/>
        </patternFill>
      </fill>
    </dxf>
    <dxf>
      <font>
        <sz val="8.5"/>
        <color rgb="FF5B2C6F"/>
        <name val="Arial"/>
      </font>
      <fill>
        <patternFill patternType="solid">
          <fgColor rgb="FFE1D5E7"/>
        </patternFill>
      </fill>
    </dxf>
    <dxf>
      <font>
        <sz val="8.5"/>
        <color rgb="FF0E6655"/>
        <name val="Arial"/>
      </font>
      <fill>
        <patternFill patternType="solid">
          <fgColor rgb="FFD0F0EC"/>
        </patternFill>
      </fill>
    </dxf>
    <dxf>
      <font>
        <sz val="8.5"/>
        <color rgb="FF1F4E79"/>
        <name val="Arial"/>
      </font>
      <fill>
        <patternFill patternType="solid">
          <fgColor rgb="FFDAE8FC"/>
        </patternFill>
      </fill>
    </dxf>
    <dxf>
      <font>
        <sz val="8.5"/>
        <color rgb="FF1F4E79"/>
        <name val="Arial"/>
      </font>
      <fill>
        <patternFill patternType="solid">
          <fgColor rgb="FFDAE8FC"/>
        </patternFill>
      </fill>
    </dxf>
    <dxf>
      <font>
        <sz val="8.5"/>
        <color rgb="FF4A4A4A"/>
        <name val="Arial"/>
      </font>
      <fill>
        <patternFill patternType="solid">
          <fgColor rgb="FFEDEDED"/>
        </patternFill>
      </fill>
    </dxf>
    <dxf>
      <font>
        <b/>
        <sz val="8.5"/>
        <color rgb="FF8A1B1B"/>
        <name val="Arial"/>
      </font>
      <fill>
        <patternFill patternType="solid">
          <fgColor rgb="FFF8CECC"/>
        </patternFill>
      </fill>
    </dxf>
    <dxf>
      <font>
        <sz val="8.5"/>
        <color rgb="FF8A6D1B"/>
        <name val="Arial"/>
      </font>
      <fill>
        <patternFill patternType="solid">
          <fgColor rgb="FFFFF2CC"/>
        </patternFill>
      </fill>
    </dxf>
    <dxf>
      <font>
        <sz val="8.5"/>
        <color rgb="FF1F5C2E"/>
        <name val="Arial"/>
      </font>
      <fill>
        <patternFill patternType="solid">
          <fgColor rgb="FFD5E8D4"/>
        </patternFill>
      </fill>
    </dxf>
    <dxf>
      <font>
        <sz val="8.5"/>
        <color rgb="FF1F4E79"/>
        <name val="Arial"/>
      </font>
      <fill>
        <patternFill patternType="solid">
          <fgColor rgb="FFDAE8FC"/>
        </patternFill>
      </fill>
    </dxf>
    <dxf>
      <font>
        <sz val="8.5"/>
        <color rgb="FF8A6D1B"/>
        <name val="Arial"/>
      </font>
      <fill>
        <patternFill patternType="solid">
          <fgColor rgb="FFFFF2CC"/>
        </patternFill>
      </fill>
    </dxf>
    <dxf>
      <font>
        <b/>
        <sz val="8.5"/>
        <color rgb="FF8A1B1B"/>
        <name val="Arial"/>
      </font>
      <fill>
        <patternFill patternType="solid">
          <fgColor rgb="FFF8CECC"/>
        </patternFill>
      </fill>
    </dxf>
    <dxf>
      <font>
        <sz val="8.5"/>
        <color rgb="FF8A5A20"/>
        <name val="Arial"/>
      </font>
      <fill>
        <patternFill patternType="solid">
          <fgColor rgb="FFFFE6CC"/>
        </patternFill>
      </fill>
    </dxf>
    <dxf>
      <font>
        <sz val="8.5"/>
        <color rgb="FF5B2C6F"/>
        <name val="Arial"/>
      </font>
      <fill>
        <patternFill patternType="solid">
          <fgColor rgb="FFE1D5E7"/>
        </patternFill>
      </fill>
    </dxf>
    <dxf>
      <font>
        <sz val="8.5"/>
        <color rgb="FF0E6655"/>
        <name val="Arial"/>
      </font>
      <fill>
        <patternFill patternType="solid">
          <fgColor rgb="FFD0F0EC"/>
        </patternFill>
      </fill>
    </dxf>
    <dxf>
      <font>
        <sz val="8.5"/>
        <color rgb="FF1F4E79"/>
        <name val="Arial"/>
      </font>
      <fill>
        <patternFill patternType="solid">
          <fgColor rgb="FFDAE8FC"/>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1181100</xdr:colOff>
      <xdr:row>1</xdr:row>
      <xdr:rowOff>190500</xdr:rowOff>
    </xdr:from>
    <xdr:ext cx="2714625" cy="1200150"/>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0819222075" y="406400"/>
          <a:ext cx="2714625" cy="12001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8A84B"/>
    <pageSetUpPr fitToPage="1"/>
  </sheetPr>
  <dimension ref="B1:E49"/>
  <sheetViews>
    <sheetView showGridLines="0" rightToLeft="1" workbookViewId="0">
      <selection activeCell="K11" sqref="K11"/>
    </sheetView>
  </sheetViews>
  <sheetFormatPr defaultRowHeight="14" x14ac:dyDescent="0.3"/>
  <cols>
    <col min="1" max="1" width="3" customWidth="1"/>
    <col min="2" max="2" width="26" customWidth="1"/>
    <col min="3" max="4" width="34" customWidth="1"/>
    <col min="5" max="5" width="22" customWidth="1"/>
    <col min="6" max="6" width="3" customWidth="1"/>
  </cols>
  <sheetData>
    <row r="1" spans="2:5" ht="17" customHeight="1" x14ac:dyDescent="0.3"/>
    <row r="2" spans="2:5" ht="17" customHeight="1" x14ac:dyDescent="0.3"/>
    <row r="3" spans="2:5" ht="17" customHeight="1" x14ac:dyDescent="0.3"/>
    <row r="4" spans="2:5" ht="17" customHeight="1" x14ac:dyDescent="0.3"/>
    <row r="5" spans="2:5" ht="17" customHeight="1" x14ac:dyDescent="0.3"/>
    <row r="6" spans="2:5" ht="17" customHeight="1" x14ac:dyDescent="0.3"/>
    <row r="7" spans="2:5" ht="17" customHeight="1" x14ac:dyDescent="0.3"/>
    <row r="8" spans="2:5" ht="17" customHeight="1" x14ac:dyDescent="0.3"/>
    <row r="9" spans="2:5" ht="17" customHeight="1" x14ac:dyDescent="0.3"/>
    <row r="10" spans="2:5" ht="17" customHeight="1" x14ac:dyDescent="0.3"/>
    <row r="11" spans="2:5" ht="32" customHeight="1" x14ac:dyDescent="0.3">
      <c r="B11" s="33" t="s">
        <v>0</v>
      </c>
      <c r="C11" s="29"/>
      <c r="D11" s="29"/>
      <c r="E11" s="29"/>
    </row>
    <row r="12" spans="2:5" ht="17" customHeight="1" x14ac:dyDescent="0.3">
      <c r="B12" s="28" t="s">
        <v>1</v>
      </c>
      <c r="C12" s="29"/>
      <c r="D12" s="29"/>
      <c r="E12" s="29"/>
    </row>
    <row r="13" spans="2:5" ht="17" customHeight="1" x14ac:dyDescent="0.3"/>
    <row r="14" spans="2:5" ht="26" customHeight="1" x14ac:dyDescent="0.3">
      <c r="B14" s="34" t="s">
        <v>2</v>
      </c>
      <c r="C14" s="29"/>
      <c r="D14" s="29"/>
      <c r="E14" s="29"/>
    </row>
    <row r="15" spans="2:5" ht="17" customHeight="1" x14ac:dyDescent="0.3"/>
    <row r="16" spans="2:5" ht="17" customHeight="1" x14ac:dyDescent="0.3">
      <c r="B16" s="32" t="s">
        <v>3</v>
      </c>
      <c r="C16" s="29"/>
      <c r="D16" s="29"/>
      <c r="E16" s="29"/>
    </row>
    <row r="17" spans="2:5" ht="17" customHeight="1" x14ac:dyDescent="0.3"/>
    <row r="18" spans="2:5" ht="17" customHeight="1" x14ac:dyDescent="0.3"/>
    <row r="19" spans="2:5" ht="22" customHeight="1" x14ac:dyDescent="0.3">
      <c r="B19" s="1" t="s">
        <v>4</v>
      </c>
      <c r="C19" s="26" t="s">
        <v>5</v>
      </c>
      <c r="D19" s="27"/>
      <c r="E19" s="27"/>
    </row>
    <row r="20" spans="2:5" ht="22" customHeight="1" x14ac:dyDescent="0.3">
      <c r="B20" s="1" t="s">
        <v>6</v>
      </c>
      <c r="C20" s="26" t="s">
        <v>7</v>
      </c>
      <c r="D20" s="27"/>
      <c r="E20" s="27"/>
    </row>
    <row r="21" spans="2:5" ht="22" customHeight="1" x14ac:dyDescent="0.3">
      <c r="B21" s="1" t="s">
        <v>8</v>
      </c>
      <c r="C21" s="26" t="s">
        <v>9</v>
      </c>
      <c r="D21" s="27"/>
      <c r="E21" s="27"/>
    </row>
    <row r="22" spans="2:5" ht="22" customHeight="1" x14ac:dyDescent="0.3">
      <c r="B22" s="1" t="s">
        <v>10</v>
      </c>
      <c r="C22" s="26" t="s">
        <v>11</v>
      </c>
      <c r="D22" s="27"/>
      <c r="E22" s="27"/>
    </row>
    <row r="23" spans="2:5" ht="22" customHeight="1" x14ac:dyDescent="0.3">
      <c r="B23" s="1" t="s">
        <v>12</v>
      </c>
      <c r="C23" s="26" t="s">
        <v>13</v>
      </c>
      <c r="D23" s="27"/>
      <c r="E23" s="27"/>
    </row>
    <row r="24" spans="2:5" ht="22" customHeight="1" x14ac:dyDescent="0.3">
      <c r="B24" s="1" t="s">
        <v>14</v>
      </c>
      <c r="C24" s="26" t="s">
        <v>15</v>
      </c>
      <c r="D24" s="27"/>
      <c r="E24" s="27"/>
    </row>
    <row r="25" spans="2:5" ht="22" customHeight="1" x14ac:dyDescent="0.3">
      <c r="B25" s="1" t="s">
        <v>16</v>
      </c>
      <c r="C25" s="26" t="s">
        <v>17</v>
      </c>
      <c r="D25" s="27"/>
      <c r="E25" s="27"/>
    </row>
    <row r="26" spans="2:5" ht="22" customHeight="1" x14ac:dyDescent="0.3">
      <c r="B26" s="1" t="s">
        <v>18</v>
      </c>
      <c r="C26" s="26" t="s">
        <v>19</v>
      </c>
      <c r="D26" s="27"/>
      <c r="E26" s="27"/>
    </row>
    <row r="27" spans="2:5" ht="22" customHeight="1" x14ac:dyDescent="0.3">
      <c r="B27" s="1" t="s">
        <v>20</v>
      </c>
      <c r="C27" s="26" t="s">
        <v>21</v>
      </c>
      <c r="D27" s="27"/>
      <c r="E27" s="27"/>
    </row>
    <row r="28" spans="2:5" ht="17" customHeight="1" x14ac:dyDescent="0.3"/>
    <row r="29" spans="2:5" ht="17" customHeight="1" x14ac:dyDescent="0.3">
      <c r="B29" s="31" t="s">
        <v>22</v>
      </c>
      <c r="C29" s="29"/>
      <c r="D29" s="29"/>
      <c r="E29" s="29"/>
    </row>
    <row r="30" spans="2:5" ht="17" customHeight="1" x14ac:dyDescent="0.3">
      <c r="B30" s="29"/>
      <c r="C30" s="29"/>
      <c r="D30" s="29"/>
      <c r="E30" s="29"/>
    </row>
    <row r="31" spans="2:5" ht="17" customHeight="1" x14ac:dyDescent="0.3">
      <c r="B31" s="29"/>
      <c r="C31" s="29"/>
      <c r="D31" s="29"/>
      <c r="E31" s="29"/>
    </row>
    <row r="32" spans="2:5" ht="17" customHeight="1" x14ac:dyDescent="0.3">
      <c r="B32" s="29"/>
      <c r="C32" s="29"/>
      <c r="D32" s="29"/>
      <c r="E32" s="29"/>
    </row>
    <row r="33" spans="2:5" ht="17" customHeight="1" x14ac:dyDescent="0.3">
      <c r="B33" s="29"/>
      <c r="C33" s="29"/>
      <c r="D33" s="29"/>
      <c r="E33" s="29"/>
    </row>
    <row r="34" spans="2:5" ht="17" customHeight="1" x14ac:dyDescent="0.3"/>
    <row r="35" spans="2:5" ht="17" customHeight="1" x14ac:dyDescent="0.3">
      <c r="B35" s="30" t="s">
        <v>23</v>
      </c>
      <c r="C35" s="29"/>
      <c r="D35" s="29"/>
      <c r="E35" s="29"/>
    </row>
    <row r="36" spans="2:5" ht="17" customHeight="1" x14ac:dyDescent="0.3">
      <c r="B36" s="29"/>
      <c r="C36" s="29"/>
      <c r="D36" s="29"/>
      <c r="E36" s="29"/>
    </row>
    <row r="37" spans="2:5" ht="17" customHeight="1" x14ac:dyDescent="0.3">
      <c r="B37" s="29"/>
      <c r="C37" s="29"/>
      <c r="D37" s="29"/>
      <c r="E37" s="29"/>
    </row>
    <row r="38" spans="2:5" ht="17" customHeight="1" x14ac:dyDescent="0.3"/>
    <row r="39" spans="2:5" ht="17" customHeight="1" x14ac:dyDescent="0.3"/>
    <row r="40" spans="2:5" ht="17" customHeight="1" x14ac:dyDescent="0.3"/>
    <row r="41" spans="2:5" ht="17" customHeight="1" x14ac:dyDescent="0.3"/>
    <row r="42" spans="2:5" ht="17" customHeight="1" x14ac:dyDescent="0.3"/>
    <row r="43" spans="2:5" ht="17" customHeight="1" x14ac:dyDescent="0.3"/>
    <row r="44" spans="2:5" ht="17" customHeight="1" x14ac:dyDescent="0.3"/>
    <row r="45" spans="2:5" ht="17" customHeight="1" x14ac:dyDescent="0.3"/>
    <row r="46" spans="2:5" ht="17" customHeight="1" x14ac:dyDescent="0.3"/>
    <row r="47" spans="2:5" ht="17" customHeight="1" x14ac:dyDescent="0.3"/>
    <row r="48" spans="2:5" ht="17" customHeight="1" x14ac:dyDescent="0.3"/>
    <row r="49" ht="17" customHeight="1" x14ac:dyDescent="0.3"/>
  </sheetData>
  <mergeCells count="15">
    <mergeCell ref="B11:E11"/>
    <mergeCell ref="C26:E26"/>
    <mergeCell ref="C21:E21"/>
    <mergeCell ref="C20:E20"/>
    <mergeCell ref="C25:E25"/>
    <mergeCell ref="B14:E14"/>
    <mergeCell ref="C24:E24"/>
    <mergeCell ref="C27:E27"/>
    <mergeCell ref="C19:E19"/>
    <mergeCell ref="B12:E12"/>
    <mergeCell ref="B35:E37"/>
    <mergeCell ref="C23:E23"/>
    <mergeCell ref="B29:E33"/>
    <mergeCell ref="C22:E22"/>
    <mergeCell ref="B16:E16"/>
  </mergeCells>
  <printOptions horizontalCentered="1"/>
  <pageMargins left="0.25" right="0.25" top="0.4" bottom="0.4" header="0.2" footer="0.2"/>
  <pageSetup paperSize="9" orientation="portrait"/>
  <headerFooter>
    <oddFooter>&amp;C&amp;8 &amp;K808080امتثال · Imtithal — IMT-ISE-IM-TMP-001 v1.0  ·  صفحة &amp;P من &amp;N</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2EA67A"/>
    <pageSetUpPr fitToPage="1"/>
  </sheetPr>
  <dimension ref="A1:C14"/>
  <sheetViews>
    <sheetView showGridLines="0" rightToLeft="1" workbookViewId="0">
      <selection sqref="A1:C1"/>
    </sheetView>
  </sheetViews>
  <sheetFormatPr defaultRowHeight="14" x14ac:dyDescent="0.3"/>
  <cols>
    <col min="1" max="1" width="5" customWidth="1"/>
    <col min="2" max="2" width="26" customWidth="1"/>
    <col min="3" max="3" width="96" customWidth="1"/>
  </cols>
  <sheetData>
    <row r="1" spans="1:3" ht="26" customHeight="1" x14ac:dyDescent="0.3">
      <c r="A1" s="35" t="s">
        <v>24</v>
      </c>
      <c r="B1" s="29"/>
      <c r="C1" s="29"/>
    </row>
    <row r="2" spans="1:3" ht="26" customHeight="1" x14ac:dyDescent="0.3">
      <c r="A2" s="36" t="s">
        <v>25</v>
      </c>
      <c r="B2" s="29"/>
      <c r="C2" s="29"/>
    </row>
    <row r="3" spans="1:3" ht="62" customHeight="1" x14ac:dyDescent="0.3">
      <c r="A3" s="2">
        <v>1</v>
      </c>
      <c r="B3" s="3" t="s">
        <v>26</v>
      </c>
      <c r="C3" s="4" t="s">
        <v>27</v>
      </c>
    </row>
    <row r="4" spans="1:3" ht="62" customHeight="1" x14ac:dyDescent="0.3">
      <c r="A4" s="2">
        <v>2</v>
      </c>
      <c r="B4" s="3" t="s">
        <v>28</v>
      </c>
      <c r="C4" s="4" t="s">
        <v>29</v>
      </c>
    </row>
    <row r="5" spans="1:3" ht="62" customHeight="1" x14ac:dyDescent="0.3">
      <c r="A5" s="2">
        <v>3</v>
      </c>
      <c r="B5" s="3" t="s">
        <v>30</v>
      </c>
      <c r="C5" s="4" t="s">
        <v>31</v>
      </c>
    </row>
    <row r="6" spans="1:3" ht="62" customHeight="1" x14ac:dyDescent="0.3">
      <c r="A6" s="2">
        <v>4</v>
      </c>
      <c r="B6" s="3" t="s">
        <v>32</v>
      </c>
      <c r="C6" s="4" t="s">
        <v>33</v>
      </c>
    </row>
    <row r="7" spans="1:3" ht="62" customHeight="1" x14ac:dyDescent="0.3">
      <c r="A7" s="2">
        <v>5</v>
      </c>
      <c r="B7" s="3" t="s">
        <v>34</v>
      </c>
      <c r="C7" s="4" t="s">
        <v>35</v>
      </c>
    </row>
    <row r="8" spans="1:3" ht="62" customHeight="1" x14ac:dyDescent="0.3">
      <c r="A8" s="2">
        <v>6</v>
      </c>
      <c r="B8" s="3" t="s">
        <v>36</v>
      </c>
      <c r="C8" s="4" t="s">
        <v>37</v>
      </c>
    </row>
    <row r="10" spans="1:3" ht="56" customHeight="1" x14ac:dyDescent="0.3">
      <c r="A10" s="5" t="s">
        <v>38</v>
      </c>
      <c r="B10" s="6" t="s">
        <v>39</v>
      </c>
      <c r="C10" s="7" t="s">
        <v>40</v>
      </c>
    </row>
    <row r="11" spans="1:3" ht="56" customHeight="1" x14ac:dyDescent="0.3">
      <c r="A11" s="5" t="s">
        <v>38</v>
      </c>
      <c r="B11" s="6" t="s">
        <v>41</v>
      </c>
      <c r="C11" s="7" t="s">
        <v>42</v>
      </c>
    </row>
    <row r="12" spans="1:3" ht="56" customHeight="1" x14ac:dyDescent="0.3">
      <c r="A12" s="5" t="s">
        <v>38</v>
      </c>
      <c r="B12" s="6" t="s">
        <v>43</v>
      </c>
      <c r="C12" s="7" t="s">
        <v>44</v>
      </c>
    </row>
    <row r="13" spans="1:3" ht="56" customHeight="1" x14ac:dyDescent="0.3">
      <c r="A13" s="5" t="s">
        <v>38</v>
      </c>
      <c r="B13" s="6" t="s">
        <v>45</v>
      </c>
      <c r="C13" s="7" t="s">
        <v>46</v>
      </c>
    </row>
    <row r="14" spans="1:3" ht="56" customHeight="1" x14ac:dyDescent="0.3">
      <c r="A14" s="5" t="s">
        <v>38</v>
      </c>
      <c r="B14" s="6" t="s">
        <v>47</v>
      </c>
      <c r="C14" s="7" t="s">
        <v>48</v>
      </c>
    </row>
  </sheetData>
  <mergeCells count="2">
    <mergeCell ref="A1:C1"/>
    <mergeCell ref="A2:C2"/>
  </mergeCells>
  <printOptions horizontalCentered="1"/>
  <pageMargins left="0.25" right="0.25" top="0.4" bottom="0.4" header="0.2" footer="0.2"/>
  <pageSetup paperSize="9" fitToHeight="0" orientation="landscape"/>
  <headerFooter>
    <oddFooter>&amp;C&amp;8 &amp;K808080امتثال · Imtithal — IMT-ISE-IM-TMP-001 v1.0  ·  صفحة &amp;P من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2F4F7"/>
    <pageSetUpPr fitToPage="1"/>
  </sheetPr>
  <dimension ref="A1:K15"/>
  <sheetViews>
    <sheetView rightToLeft="1" workbookViewId="0">
      <selection sqref="A1:K1"/>
    </sheetView>
  </sheetViews>
  <sheetFormatPr defaultRowHeight="14" x14ac:dyDescent="0.3"/>
  <cols>
    <col min="1" max="1" width="18" customWidth="1"/>
    <col min="2" max="2" width="20" customWidth="1"/>
    <col min="3" max="3" width="14" customWidth="1"/>
    <col min="4" max="4" width="16" customWidth="1"/>
    <col min="5" max="5" width="18" customWidth="1"/>
    <col min="6" max="6" width="20" customWidth="1"/>
    <col min="7" max="7" width="26" customWidth="1"/>
    <col min="8" max="8" width="20" customWidth="1"/>
    <col min="9" max="9" width="16" customWidth="1"/>
    <col min="10" max="10" width="18" customWidth="1"/>
    <col min="11" max="11" width="16" customWidth="1"/>
  </cols>
  <sheetData>
    <row r="1" spans="1:11" ht="26" customHeight="1" x14ac:dyDescent="0.3">
      <c r="A1" s="35" t="s">
        <v>49</v>
      </c>
      <c r="B1" s="29"/>
      <c r="C1" s="29"/>
      <c r="D1" s="29"/>
      <c r="E1" s="29"/>
      <c r="F1" s="29"/>
      <c r="G1" s="29"/>
      <c r="H1" s="29"/>
      <c r="I1" s="29"/>
      <c r="J1" s="29"/>
      <c r="K1" s="29"/>
    </row>
    <row r="2" spans="1:11" ht="26" customHeight="1" x14ac:dyDescent="0.3">
      <c r="A2" s="36" t="s">
        <v>50</v>
      </c>
      <c r="B2" s="29"/>
      <c r="C2" s="29"/>
      <c r="D2" s="29"/>
      <c r="E2" s="29"/>
      <c r="F2" s="29"/>
      <c r="G2" s="29"/>
      <c r="H2" s="29"/>
      <c r="I2" s="29"/>
      <c r="J2" s="29"/>
      <c r="K2" s="29"/>
    </row>
    <row r="3" spans="1:11" ht="34" customHeight="1" x14ac:dyDescent="0.3">
      <c r="A3" s="8" t="s">
        <v>51</v>
      </c>
      <c r="B3" s="8" t="s">
        <v>52</v>
      </c>
      <c r="C3" s="8" t="s">
        <v>53</v>
      </c>
      <c r="D3" s="8" t="s">
        <v>54</v>
      </c>
      <c r="E3" s="8" t="s">
        <v>55</v>
      </c>
      <c r="F3" s="8" t="s">
        <v>56</v>
      </c>
      <c r="G3" s="8" t="s">
        <v>57</v>
      </c>
      <c r="H3" s="8" t="s">
        <v>58</v>
      </c>
      <c r="I3" s="8" t="s">
        <v>59</v>
      </c>
      <c r="J3" s="8" t="s">
        <v>60</v>
      </c>
      <c r="K3" s="8" t="s">
        <v>61</v>
      </c>
    </row>
    <row r="4" spans="1:11" x14ac:dyDescent="0.3">
      <c r="A4" s="9" t="s">
        <v>62</v>
      </c>
      <c r="B4" s="9" t="s">
        <v>63</v>
      </c>
      <c r="C4" s="9" t="s">
        <v>64</v>
      </c>
      <c r="D4" s="9" t="s">
        <v>65</v>
      </c>
      <c r="E4" s="10" t="s">
        <v>66</v>
      </c>
      <c r="F4" s="10" t="s">
        <v>67</v>
      </c>
      <c r="G4" s="10" t="s">
        <v>68</v>
      </c>
      <c r="H4" s="10" t="s">
        <v>69</v>
      </c>
      <c r="I4" s="10" t="s">
        <v>70</v>
      </c>
      <c r="J4" s="10" t="s">
        <v>71</v>
      </c>
      <c r="K4" s="10" t="s">
        <v>72</v>
      </c>
    </row>
    <row r="5" spans="1:11" x14ac:dyDescent="0.3">
      <c r="A5" s="9" t="s">
        <v>73</v>
      </c>
      <c r="B5" s="9" t="s">
        <v>74</v>
      </c>
      <c r="C5" s="9" t="s">
        <v>75</v>
      </c>
      <c r="D5" s="9" t="s">
        <v>64</v>
      </c>
      <c r="E5" s="10" t="s">
        <v>76</v>
      </c>
      <c r="F5" s="10" t="s">
        <v>77</v>
      </c>
      <c r="G5" s="10" t="s">
        <v>78</v>
      </c>
      <c r="H5" s="10" t="s">
        <v>79</v>
      </c>
      <c r="I5" s="10" t="s">
        <v>80</v>
      </c>
      <c r="J5" s="10" t="s">
        <v>81</v>
      </c>
      <c r="K5" s="10" t="s">
        <v>82</v>
      </c>
    </row>
    <row r="6" spans="1:11" x14ac:dyDescent="0.3">
      <c r="A6" s="9" t="s">
        <v>83</v>
      </c>
      <c r="B6" s="9" t="s">
        <v>84</v>
      </c>
      <c r="C6" s="9" t="s">
        <v>85</v>
      </c>
      <c r="D6" s="9" t="s">
        <v>75</v>
      </c>
      <c r="E6" s="10" t="s">
        <v>86</v>
      </c>
      <c r="F6" s="10" t="s">
        <v>87</v>
      </c>
      <c r="G6" s="10" t="s">
        <v>88</v>
      </c>
      <c r="H6" s="10" t="s">
        <v>89</v>
      </c>
      <c r="I6" s="10" t="s">
        <v>90</v>
      </c>
      <c r="J6" s="10" t="s">
        <v>91</v>
      </c>
      <c r="K6" s="10" t="s">
        <v>92</v>
      </c>
    </row>
    <row r="7" spans="1:11" x14ac:dyDescent="0.3">
      <c r="A7" s="9" t="s">
        <v>93</v>
      </c>
      <c r="B7" s="9" t="s">
        <v>94</v>
      </c>
      <c r="C7" s="9"/>
      <c r="D7" s="9" t="s">
        <v>85</v>
      </c>
      <c r="E7" s="10" t="s">
        <v>95</v>
      </c>
      <c r="F7" s="10" t="s">
        <v>96</v>
      </c>
      <c r="G7" s="10" t="s">
        <v>97</v>
      </c>
      <c r="H7" s="10" t="s">
        <v>98</v>
      </c>
      <c r="I7" s="10" t="s">
        <v>99</v>
      </c>
      <c r="J7" s="10" t="s">
        <v>100</v>
      </c>
      <c r="K7" s="10"/>
    </row>
    <row r="8" spans="1:11" x14ac:dyDescent="0.3">
      <c r="A8" s="9" t="s">
        <v>101</v>
      </c>
      <c r="B8" s="9" t="s">
        <v>102</v>
      </c>
      <c r="C8" s="9"/>
      <c r="D8" s="9"/>
      <c r="E8" s="10" t="s">
        <v>103</v>
      </c>
      <c r="F8" s="10" t="s">
        <v>104</v>
      </c>
      <c r="G8" s="10" t="s">
        <v>105</v>
      </c>
      <c r="H8" s="10" t="s">
        <v>106</v>
      </c>
      <c r="I8" s="10" t="s">
        <v>107</v>
      </c>
      <c r="J8" s="10"/>
      <c r="K8" s="10"/>
    </row>
    <row r="9" spans="1:11" x14ac:dyDescent="0.3">
      <c r="A9" s="9"/>
      <c r="B9" s="9" t="s">
        <v>108</v>
      </c>
      <c r="C9" s="9"/>
      <c r="D9" s="9"/>
      <c r="E9" s="10" t="s">
        <v>109</v>
      </c>
      <c r="F9" s="10" t="s">
        <v>110</v>
      </c>
      <c r="G9" s="10" t="s">
        <v>111</v>
      </c>
      <c r="H9" s="10" t="s">
        <v>112</v>
      </c>
      <c r="I9" s="10"/>
      <c r="J9" s="10"/>
      <c r="K9" s="10"/>
    </row>
    <row r="10" spans="1:11" x14ac:dyDescent="0.3">
      <c r="A10" s="9"/>
      <c r="B10" s="9"/>
      <c r="C10" s="9"/>
      <c r="D10" s="9"/>
      <c r="E10" s="10"/>
      <c r="F10" s="10"/>
      <c r="G10" s="10" t="s">
        <v>113</v>
      </c>
      <c r="H10" s="10"/>
      <c r="I10" s="10"/>
      <c r="J10" s="10"/>
      <c r="K10" s="10"/>
    </row>
    <row r="11" spans="1:11" x14ac:dyDescent="0.3">
      <c r="A11" s="9"/>
      <c r="B11" s="9"/>
      <c r="C11" s="9"/>
      <c r="D11" s="9"/>
      <c r="E11" s="10"/>
      <c r="F11" s="10"/>
      <c r="G11" s="10" t="s">
        <v>114</v>
      </c>
      <c r="H11" s="10"/>
      <c r="I11" s="10"/>
      <c r="J11" s="10"/>
      <c r="K11" s="10"/>
    </row>
    <row r="12" spans="1:11" x14ac:dyDescent="0.3">
      <c r="A12" s="9"/>
      <c r="B12" s="9"/>
      <c r="C12" s="9"/>
      <c r="D12" s="9"/>
      <c r="E12" s="10"/>
      <c r="F12" s="10"/>
      <c r="G12" s="10" t="s">
        <v>115</v>
      </c>
      <c r="H12" s="10"/>
      <c r="I12" s="10"/>
      <c r="J12" s="10"/>
      <c r="K12" s="10"/>
    </row>
    <row r="14" spans="1:11" ht="22" customHeight="1" x14ac:dyDescent="0.3">
      <c r="A14" s="37" t="s">
        <v>116</v>
      </c>
      <c r="B14" s="29"/>
      <c r="C14" s="29"/>
      <c r="D14" s="29"/>
      <c r="E14" s="29"/>
      <c r="F14" s="29"/>
      <c r="G14" s="29"/>
      <c r="H14" s="29"/>
      <c r="I14" s="29"/>
      <c r="J14" s="29"/>
      <c r="K14" s="29"/>
    </row>
    <row r="15" spans="1:11" ht="22" customHeight="1" x14ac:dyDescent="0.3">
      <c r="A15" s="29"/>
      <c r="B15" s="29"/>
      <c r="C15" s="29"/>
      <c r="D15" s="29"/>
      <c r="E15" s="29"/>
      <c r="F15" s="29"/>
      <c r="G15" s="29"/>
      <c r="H15" s="29"/>
      <c r="I15" s="29"/>
      <c r="J15" s="29"/>
      <c r="K15" s="29"/>
    </row>
  </sheetData>
  <mergeCells count="3">
    <mergeCell ref="A2:K2"/>
    <mergeCell ref="A1:K1"/>
    <mergeCell ref="A14:K15"/>
  </mergeCells>
  <printOptions horizontalCentered="1"/>
  <pageMargins left="0.25" right="0.25" top="0.4" bottom="0.4" header="0.2" footer="0.2"/>
  <pageSetup paperSize="9" fitToHeight="0" orientation="landscape"/>
  <headerFooter>
    <oddFooter>&amp;C&amp;8 &amp;K808080امتثال · Imtithal — IMT-ISE-IM-TMP-001 v1.0  ·  صفحة &amp;P من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1A2E5E"/>
    <pageSetUpPr fitToPage="1"/>
  </sheetPr>
  <dimension ref="A1:V164"/>
  <sheetViews>
    <sheetView rightToLeft="1" workbookViewId="0">
      <pane xSplit="4" ySplit="3" topLeftCell="E4" activePane="bottomRight" state="frozen"/>
      <selection pane="topRight"/>
      <selection pane="bottomLeft"/>
      <selection pane="bottomRight" activeCell="J5" sqref="J5"/>
    </sheetView>
  </sheetViews>
  <sheetFormatPr defaultRowHeight="14" x14ac:dyDescent="0.3"/>
  <cols>
    <col min="1" max="1" width="5" customWidth="1"/>
    <col min="2" max="2" width="17" customWidth="1"/>
    <col min="3" max="3" width="8" customWidth="1"/>
    <col min="4" max="4" width="40" customWidth="1"/>
    <col min="5" max="5" width="30" customWidth="1"/>
    <col min="6" max="6" width="13" customWidth="1"/>
    <col min="7" max="7" width="46" customWidth="1"/>
    <col min="8" max="8" width="24" customWidth="1"/>
    <col min="9" max="9" width="11" customWidth="1"/>
    <col min="10" max="10" width="14" customWidth="1"/>
    <col min="11" max="11" width="11" customWidth="1"/>
    <col min="12" max="12" width="34" customWidth="1"/>
    <col min="13" max="13" width="14" customWidth="1"/>
    <col min="14" max="14" width="16" customWidth="1"/>
    <col min="15" max="15" width="36" customWidth="1"/>
    <col min="16" max="16" width="16" customWidth="1"/>
    <col min="17" max="17" width="12" customWidth="1"/>
    <col min="18" max="18" width="11" customWidth="1"/>
    <col min="19" max="19" width="17" customWidth="1"/>
    <col min="20" max="20" width="14" customWidth="1"/>
    <col min="21" max="21" width="14" hidden="1" customWidth="1"/>
    <col min="22" max="22" width="10" hidden="1" customWidth="1"/>
  </cols>
  <sheetData>
    <row r="1" spans="1:22" ht="26" customHeight="1" x14ac:dyDescent="0.3">
      <c r="A1" s="35" t="s">
        <v>117</v>
      </c>
      <c r="B1" s="29"/>
      <c r="C1" s="29"/>
      <c r="D1" s="29"/>
      <c r="E1" s="29"/>
      <c r="F1" s="29"/>
      <c r="G1" s="29"/>
      <c r="H1" s="29"/>
      <c r="I1" s="29"/>
      <c r="J1" s="29"/>
      <c r="K1" s="29"/>
      <c r="L1" s="29"/>
      <c r="M1" s="29"/>
      <c r="N1" s="29"/>
      <c r="O1" s="29"/>
      <c r="P1" s="29"/>
      <c r="Q1" s="29"/>
      <c r="R1" s="29"/>
      <c r="S1" s="29"/>
      <c r="T1" s="29"/>
    </row>
    <row r="2" spans="1:22" ht="26" customHeight="1" x14ac:dyDescent="0.3">
      <c r="A2" s="36" t="s">
        <v>118</v>
      </c>
      <c r="B2" s="29"/>
      <c r="C2" s="29"/>
      <c r="D2" s="29"/>
      <c r="E2" s="29"/>
      <c r="F2" s="29"/>
      <c r="G2" s="29"/>
      <c r="H2" s="29"/>
      <c r="I2" s="29"/>
      <c r="J2" s="29"/>
      <c r="K2" s="29"/>
      <c r="L2" s="29"/>
      <c r="M2" s="29"/>
      <c r="N2" s="29"/>
      <c r="O2" s="29"/>
      <c r="P2" s="29"/>
      <c r="Q2" s="29"/>
      <c r="R2" s="29"/>
      <c r="S2" s="29"/>
      <c r="T2" s="29"/>
    </row>
    <row r="3" spans="1:22" ht="34" customHeight="1" x14ac:dyDescent="0.3">
      <c r="A3" s="8" t="s">
        <v>119</v>
      </c>
      <c r="B3" s="8" t="s">
        <v>120</v>
      </c>
      <c r="C3" s="8" t="s">
        <v>121</v>
      </c>
      <c r="D3" s="8" t="s">
        <v>122</v>
      </c>
      <c r="E3" s="8" t="s">
        <v>123</v>
      </c>
      <c r="F3" s="8" t="s">
        <v>124</v>
      </c>
      <c r="G3" s="8" t="s">
        <v>125</v>
      </c>
      <c r="H3" s="8" t="s">
        <v>126</v>
      </c>
      <c r="I3" s="8" t="s">
        <v>53</v>
      </c>
      <c r="J3" s="8" t="s">
        <v>51</v>
      </c>
      <c r="K3" s="8" t="s">
        <v>127</v>
      </c>
      <c r="L3" s="8" t="s">
        <v>128</v>
      </c>
      <c r="M3" s="8" t="s">
        <v>55</v>
      </c>
      <c r="N3" s="8" t="s">
        <v>52</v>
      </c>
      <c r="O3" s="8" t="s">
        <v>129</v>
      </c>
      <c r="P3" s="8" t="s">
        <v>130</v>
      </c>
      <c r="Q3" s="8" t="s">
        <v>131</v>
      </c>
      <c r="R3" s="8" t="s">
        <v>132</v>
      </c>
      <c r="S3" s="8" t="s">
        <v>133</v>
      </c>
      <c r="T3" s="8" t="s">
        <v>54</v>
      </c>
      <c r="U3" s="8" t="s">
        <v>134</v>
      </c>
      <c r="V3" s="8" t="s">
        <v>135</v>
      </c>
    </row>
    <row r="4" spans="1:22" ht="40" customHeight="1" x14ac:dyDescent="0.3">
      <c r="A4" s="11">
        <v>1</v>
      </c>
      <c r="B4" s="10" t="s">
        <v>8</v>
      </c>
      <c r="C4" s="11" t="s">
        <v>136</v>
      </c>
      <c r="D4" s="12" t="s">
        <v>137</v>
      </c>
      <c r="E4" s="13" t="s">
        <v>138</v>
      </c>
      <c r="F4" s="10" t="s">
        <v>139</v>
      </c>
      <c r="G4" s="13" t="s">
        <v>140</v>
      </c>
      <c r="H4" s="14" t="s">
        <v>141</v>
      </c>
      <c r="I4" s="11" t="s">
        <v>75</v>
      </c>
      <c r="J4" s="11" t="s">
        <v>73</v>
      </c>
      <c r="K4" s="15">
        <f t="shared" ref="K4:K35" si="0">IF($J4="مطبق كلياً",100,IF($J4="مطبق جزئياً",50,IF($J4="غير مطبق",0,"")))</f>
        <v>50</v>
      </c>
      <c r="L4" s="13" t="s">
        <v>142</v>
      </c>
      <c r="M4" s="11" t="s">
        <v>76</v>
      </c>
      <c r="N4" s="10" t="s">
        <v>102</v>
      </c>
      <c r="O4" s="13" t="s">
        <v>143</v>
      </c>
      <c r="P4" s="11" t="s">
        <v>79</v>
      </c>
      <c r="Q4" s="16">
        <v>46177</v>
      </c>
      <c r="R4" s="15" t="str">
        <f t="shared" ref="R4:R35" si="1">IF(OR($J4="غير مطبق",$J4="مطبق جزئياً",$N4="عدم مطابقة كبرى",$N4="عدم مطابقة صغرى"),"نعم","لا")</f>
        <v>نعم</v>
      </c>
      <c r="S4" s="17" t="str">
        <f t="shared" ref="S4:S35" si="2">IF($R4="لا","—",IF(AND(OR($J4="غير مطبق",$J4="مطبق جزئياً"),OR($N4="عدم مطابقة كبرى",$N4="عدم مطابقة صغرى")),"تحليل فجوة + تدقيق",IF(OR($J4="غير مطبق",$J4="مطبق جزئياً"),"تحليل فجوة","تدقيق داخلي")))</f>
        <v>تحليل فجوة</v>
      </c>
      <c r="T4" s="15" t="str">
        <f t="shared" ref="T4:T35" si="3">IF($R4="لا","—",IF(OR($N4="عدم مطابقة كبرى",AND($I4="عالية",$J4="غير مطبق")),"حرجة",IF(OR(AND($I4="عالية",$J4="مطبق جزئياً"),AND($I4="متوسطة",$J4="غير مطبق"),$N4="عدم مطابقة صغرى"),"عالية",IF($I4="منخفضة","منخفضة","متوسطة"))))</f>
        <v>متوسطة</v>
      </c>
      <c r="U4" s="11" t="str">
        <f t="shared" ref="U4:U35" si="4">$B4&amp;"|"&amp;$C4</f>
        <v>ISO 23592:2021|المقدمة</v>
      </c>
      <c r="V4" s="11" t="str">
        <f>IF($T4="حرجة",COUNTIF($T$4:$T4,"حرجة"),"")</f>
        <v/>
      </c>
    </row>
    <row r="5" spans="1:22" ht="40" customHeight="1" x14ac:dyDescent="0.3">
      <c r="A5" s="11">
        <v>2</v>
      </c>
      <c r="B5" s="10" t="s">
        <v>8</v>
      </c>
      <c r="C5" s="11" t="s">
        <v>144</v>
      </c>
      <c r="D5" s="12" t="s">
        <v>145</v>
      </c>
      <c r="E5" s="13" t="s">
        <v>146</v>
      </c>
      <c r="F5" s="10" t="s">
        <v>147</v>
      </c>
      <c r="G5" s="13" t="s">
        <v>148</v>
      </c>
      <c r="H5" s="14" t="s">
        <v>141</v>
      </c>
      <c r="I5" s="11" t="s">
        <v>85</v>
      </c>
      <c r="J5" s="11" t="s">
        <v>93</v>
      </c>
      <c r="K5" s="15" t="str">
        <f t="shared" si="0"/>
        <v/>
      </c>
      <c r="L5" s="13" t="s">
        <v>149</v>
      </c>
      <c r="M5" s="11" t="s">
        <v>66</v>
      </c>
      <c r="N5" s="10" t="s">
        <v>108</v>
      </c>
      <c r="O5" s="13" t="s">
        <v>150</v>
      </c>
      <c r="P5" s="11" t="s">
        <v>89</v>
      </c>
      <c r="Q5" s="16">
        <v>46180</v>
      </c>
      <c r="R5" s="15" t="str">
        <f t="shared" si="1"/>
        <v>لا</v>
      </c>
      <c r="S5" s="17" t="str">
        <f t="shared" si="2"/>
        <v>—</v>
      </c>
      <c r="T5" s="15" t="str">
        <f t="shared" si="3"/>
        <v>—</v>
      </c>
      <c r="U5" s="11" t="str">
        <f t="shared" si="4"/>
        <v>ISO 23592:2021|1</v>
      </c>
      <c r="V5" s="11" t="str">
        <f>IF($T5="حرجة",COUNTIF($T$4:$T5,"حرجة"),"")</f>
        <v/>
      </c>
    </row>
    <row r="6" spans="1:22" ht="40" customHeight="1" x14ac:dyDescent="0.3">
      <c r="A6" s="11">
        <v>3</v>
      </c>
      <c r="B6" s="10" t="s">
        <v>8</v>
      </c>
      <c r="C6" s="11" t="s">
        <v>151</v>
      </c>
      <c r="D6" s="12" t="s">
        <v>152</v>
      </c>
      <c r="E6" s="13" t="s">
        <v>153</v>
      </c>
      <c r="F6" s="10" t="s">
        <v>147</v>
      </c>
      <c r="G6" s="13" t="s">
        <v>148</v>
      </c>
      <c r="H6" s="14" t="s">
        <v>141</v>
      </c>
      <c r="I6" s="11" t="s">
        <v>85</v>
      </c>
      <c r="J6" s="11" t="s">
        <v>93</v>
      </c>
      <c r="K6" s="15" t="str">
        <f t="shared" si="0"/>
        <v/>
      </c>
      <c r="L6" s="13" t="s">
        <v>149</v>
      </c>
      <c r="M6" s="11" t="s">
        <v>66</v>
      </c>
      <c r="N6" s="10" t="s">
        <v>108</v>
      </c>
      <c r="O6" s="13" t="s">
        <v>150</v>
      </c>
      <c r="P6" s="11" t="s">
        <v>98</v>
      </c>
      <c r="Q6" s="16">
        <v>46183</v>
      </c>
      <c r="R6" s="15" t="str">
        <f t="shared" si="1"/>
        <v>لا</v>
      </c>
      <c r="S6" s="17" t="str">
        <f t="shared" si="2"/>
        <v>—</v>
      </c>
      <c r="T6" s="15" t="str">
        <f t="shared" si="3"/>
        <v>—</v>
      </c>
      <c r="U6" s="11" t="str">
        <f t="shared" si="4"/>
        <v>ISO 23592:2021|2</v>
      </c>
      <c r="V6" s="11" t="str">
        <f>IF($T6="حرجة",COUNTIF($T$4:$T6,"حرجة"),"")</f>
        <v/>
      </c>
    </row>
    <row r="7" spans="1:22" ht="40" customHeight="1" x14ac:dyDescent="0.3">
      <c r="A7" s="11">
        <v>4</v>
      </c>
      <c r="B7" s="10" t="s">
        <v>8</v>
      </c>
      <c r="C7" s="11" t="s">
        <v>154</v>
      </c>
      <c r="D7" s="12" t="s">
        <v>155</v>
      </c>
      <c r="E7" s="13" t="s">
        <v>156</v>
      </c>
      <c r="F7" s="10" t="s">
        <v>157</v>
      </c>
      <c r="G7" s="13" t="s">
        <v>158</v>
      </c>
      <c r="H7" s="14" t="s">
        <v>159</v>
      </c>
      <c r="I7" s="11" t="s">
        <v>75</v>
      </c>
      <c r="J7" s="11" t="s">
        <v>62</v>
      </c>
      <c r="K7" s="15">
        <f t="shared" si="0"/>
        <v>100</v>
      </c>
      <c r="L7" s="13" t="s">
        <v>160</v>
      </c>
      <c r="M7" s="11" t="s">
        <v>66</v>
      </c>
      <c r="N7" s="10" t="s">
        <v>63</v>
      </c>
      <c r="O7" s="13" t="s">
        <v>161</v>
      </c>
      <c r="P7" s="11" t="s">
        <v>69</v>
      </c>
      <c r="Q7" s="16">
        <v>46186</v>
      </c>
      <c r="R7" s="15" t="str">
        <f t="shared" si="1"/>
        <v>لا</v>
      </c>
      <c r="S7" s="17" t="str">
        <f t="shared" si="2"/>
        <v>—</v>
      </c>
      <c r="T7" s="15" t="str">
        <f t="shared" si="3"/>
        <v>—</v>
      </c>
      <c r="U7" s="11" t="str">
        <f t="shared" si="4"/>
        <v>ISO 23592:2021|3</v>
      </c>
      <c r="V7" s="11" t="str">
        <f>IF($T7="حرجة",COUNTIF($T$4:$T7,"حرجة"),"")</f>
        <v/>
      </c>
    </row>
    <row r="8" spans="1:22" ht="40" customHeight="1" x14ac:dyDescent="0.3">
      <c r="A8" s="11">
        <v>5</v>
      </c>
      <c r="B8" s="10" t="s">
        <v>8</v>
      </c>
      <c r="C8" s="11" t="s">
        <v>162</v>
      </c>
      <c r="D8" s="12" t="s">
        <v>163</v>
      </c>
      <c r="E8" s="13" t="s">
        <v>164</v>
      </c>
      <c r="F8" s="10" t="s">
        <v>139</v>
      </c>
      <c r="G8" s="13" t="s">
        <v>165</v>
      </c>
      <c r="H8" s="14" t="s">
        <v>166</v>
      </c>
      <c r="I8" s="11" t="s">
        <v>64</v>
      </c>
      <c r="J8" s="11" t="s">
        <v>62</v>
      </c>
      <c r="K8" s="15">
        <f t="shared" si="0"/>
        <v>100</v>
      </c>
      <c r="L8" s="13" t="s">
        <v>167</v>
      </c>
      <c r="M8" s="11" t="s">
        <v>95</v>
      </c>
      <c r="N8" s="10" t="s">
        <v>102</v>
      </c>
      <c r="O8" s="13" t="s">
        <v>168</v>
      </c>
      <c r="P8" s="11" t="s">
        <v>79</v>
      </c>
      <c r="Q8" s="16">
        <v>46189</v>
      </c>
      <c r="R8" s="15" t="str">
        <f t="shared" si="1"/>
        <v>لا</v>
      </c>
      <c r="S8" s="17" t="str">
        <f t="shared" si="2"/>
        <v>—</v>
      </c>
      <c r="T8" s="15" t="str">
        <f t="shared" si="3"/>
        <v>—</v>
      </c>
      <c r="U8" s="11" t="str">
        <f t="shared" si="4"/>
        <v>ISO 23592:2021|4</v>
      </c>
      <c r="V8" s="11" t="str">
        <f>IF($T8="حرجة",COUNTIF($T$4:$T8,"حرجة"),"")</f>
        <v/>
      </c>
    </row>
    <row r="9" spans="1:22" ht="40" customHeight="1" x14ac:dyDescent="0.3">
      <c r="A9" s="11">
        <v>6</v>
      </c>
      <c r="B9" s="10" t="s">
        <v>8</v>
      </c>
      <c r="C9" s="11" t="s">
        <v>169</v>
      </c>
      <c r="D9" s="12" t="s">
        <v>170</v>
      </c>
      <c r="E9" s="13" t="s">
        <v>171</v>
      </c>
      <c r="F9" s="10" t="s">
        <v>172</v>
      </c>
      <c r="G9" s="13" t="s">
        <v>173</v>
      </c>
      <c r="H9" s="14" t="s">
        <v>174</v>
      </c>
      <c r="I9" s="11" t="s">
        <v>85</v>
      </c>
      <c r="J9" s="11" t="s">
        <v>73</v>
      </c>
      <c r="K9" s="15">
        <f t="shared" si="0"/>
        <v>50</v>
      </c>
      <c r="L9" s="13" t="s">
        <v>175</v>
      </c>
      <c r="M9" s="11" t="s">
        <v>76</v>
      </c>
      <c r="N9" s="10" t="s">
        <v>84</v>
      </c>
      <c r="O9" s="13" t="s">
        <v>176</v>
      </c>
      <c r="P9" s="11" t="s">
        <v>89</v>
      </c>
      <c r="Q9" s="16">
        <v>46192</v>
      </c>
      <c r="R9" s="15" t="str">
        <f t="shared" si="1"/>
        <v>نعم</v>
      </c>
      <c r="S9" s="17" t="str">
        <f t="shared" si="2"/>
        <v>تحليل فجوة + تدقيق</v>
      </c>
      <c r="T9" s="15" t="str">
        <f t="shared" si="3"/>
        <v>عالية</v>
      </c>
      <c r="U9" s="11" t="str">
        <f t="shared" si="4"/>
        <v>ISO 23592:2021|5</v>
      </c>
      <c r="V9" s="11" t="str">
        <f>IF($T9="حرجة",COUNTIF($T$4:$T9,"حرجة"),"")</f>
        <v/>
      </c>
    </row>
    <row r="10" spans="1:22" ht="40" customHeight="1" x14ac:dyDescent="0.3">
      <c r="A10" s="11">
        <v>7</v>
      </c>
      <c r="B10" s="10" t="s">
        <v>8</v>
      </c>
      <c r="C10" s="11" t="s">
        <v>177</v>
      </c>
      <c r="D10" s="12" t="s">
        <v>178</v>
      </c>
      <c r="E10" s="13" t="s">
        <v>179</v>
      </c>
      <c r="F10" s="10" t="s">
        <v>180</v>
      </c>
      <c r="G10" s="13" t="s">
        <v>181</v>
      </c>
      <c r="H10" s="14" t="s">
        <v>141</v>
      </c>
      <c r="I10" s="11" t="s">
        <v>64</v>
      </c>
      <c r="J10" s="11" t="s">
        <v>62</v>
      </c>
      <c r="K10" s="15">
        <f t="shared" si="0"/>
        <v>100</v>
      </c>
      <c r="L10" s="13" t="s">
        <v>182</v>
      </c>
      <c r="M10" s="11" t="s">
        <v>66</v>
      </c>
      <c r="N10" s="10" t="s">
        <v>63</v>
      </c>
      <c r="O10" s="13" t="s">
        <v>161</v>
      </c>
      <c r="P10" s="11" t="s">
        <v>98</v>
      </c>
      <c r="Q10" s="16">
        <v>46195</v>
      </c>
      <c r="R10" s="15" t="str">
        <f t="shared" si="1"/>
        <v>لا</v>
      </c>
      <c r="S10" s="17" t="str">
        <f t="shared" si="2"/>
        <v>—</v>
      </c>
      <c r="T10" s="15" t="str">
        <f t="shared" si="3"/>
        <v>—</v>
      </c>
      <c r="U10" s="11" t="str">
        <f t="shared" si="4"/>
        <v>ISO 23592:2021|6</v>
      </c>
      <c r="V10" s="11" t="str">
        <f>IF($T10="حرجة",COUNTIF($T$4:$T10,"حرجة"),"")</f>
        <v/>
      </c>
    </row>
    <row r="11" spans="1:22" ht="40" customHeight="1" x14ac:dyDescent="0.3">
      <c r="A11" s="11">
        <v>8</v>
      </c>
      <c r="B11" s="10" t="s">
        <v>8</v>
      </c>
      <c r="C11" s="11" t="s">
        <v>183</v>
      </c>
      <c r="D11" s="12" t="s">
        <v>184</v>
      </c>
      <c r="E11" s="13" t="s">
        <v>185</v>
      </c>
      <c r="F11" s="10" t="s">
        <v>186</v>
      </c>
      <c r="G11" s="13" t="s">
        <v>187</v>
      </c>
      <c r="H11" s="14" t="s">
        <v>188</v>
      </c>
      <c r="I11" s="11" t="s">
        <v>64</v>
      </c>
      <c r="J11" s="11" t="s">
        <v>83</v>
      </c>
      <c r="K11" s="15">
        <f t="shared" si="0"/>
        <v>0</v>
      </c>
      <c r="L11" s="13" t="s">
        <v>189</v>
      </c>
      <c r="M11" s="11" t="s">
        <v>109</v>
      </c>
      <c r="N11" s="10" t="s">
        <v>94</v>
      </c>
      <c r="O11" s="13" t="s">
        <v>190</v>
      </c>
      <c r="P11" s="11" t="s">
        <v>69</v>
      </c>
      <c r="Q11" s="16">
        <v>46198</v>
      </c>
      <c r="R11" s="15" t="str">
        <f t="shared" si="1"/>
        <v>نعم</v>
      </c>
      <c r="S11" s="17" t="str">
        <f t="shared" si="2"/>
        <v>تحليل فجوة</v>
      </c>
      <c r="T11" s="15" t="str">
        <f t="shared" si="3"/>
        <v>حرجة</v>
      </c>
      <c r="U11" s="11" t="str">
        <f t="shared" si="4"/>
        <v>ISO 23592:2021|7.1.1</v>
      </c>
      <c r="V11" s="11">
        <f>IF($T11="حرجة",COUNTIF($T$4:$T11,"حرجة"),"")</f>
        <v>1</v>
      </c>
    </row>
    <row r="12" spans="1:22" ht="40" customHeight="1" x14ac:dyDescent="0.3">
      <c r="A12" s="11">
        <v>9</v>
      </c>
      <c r="B12" s="10" t="s">
        <v>8</v>
      </c>
      <c r="C12" s="11" t="s">
        <v>191</v>
      </c>
      <c r="D12" s="12" t="s">
        <v>192</v>
      </c>
      <c r="E12" s="13" t="s">
        <v>193</v>
      </c>
      <c r="F12" s="10" t="s">
        <v>186</v>
      </c>
      <c r="G12" s="13" t="s">
        <v>194</v>
      </c>
      <c r="H12" s="14" t="s">
        <v>188</v>
      </c>
      <c r="I12" s="11" t="s">
        <v>64</v>
      </c>
      <c r="J12" s="11" t="s">
        <v>62</v>
      </c>
      <c r="K12" s="15">
        <f t="shared" si="0"/>
        <v>100</v>
      </c>
      <c r="L12" s="13" t="s">
        <v>160</v>
      </c>
      <c r="M12" s="11" t="s">
        <v>86</v>
      </c>
      <c r="N12" s="10" t="s">
        <v>63</v>
      </c>
      <c r="O12" s="13" t="s">
        <v>161</v>
      </c>
      <c r="P12" s="11" t="s">
        <v>79</v>
      </c>
      <c r="Q12" s="16">
        <v>46201</v>
      </c>
      <c r="R12" s="15" t="str">
        <f t="shared" si="1"/>
        <v>لا</v>
      </c>
      <c r="S12" s="17" t="str">
        <f t="shared" si="2"/>
        <v>—</v>
      </c>
      <c r="T12" s="15" t="str">
        <f t="shared" si="3"/>
        <v>—</v>
      </c>
      <c r="U12" s="11" t="str">
        <f t="shared" si="4"/>
        <v>ISO 23592:2021|7.1.2</v>
      </c>
      <c r="V12" s="11" t="str">
        <f>IF($T12="حرجة",COUNTIF($T$4:$T12,"حرجة"),"")</f>
        <v/>
      </c>
    </row>
    <row r="13" spans="1:22" ht="40" customHeight="1" x14ac:dyDescent="0.3">
      <c r="A13" s="11">
        <v>10</v>
      </c>
      <c r="B13" s="10" t="s">
        <v>8</v>
      </c>
      <c r="C13" s="11" t="s">
        <v>195</v>
      </c>
      <c r="D13" s="12" t="s">
        <v>196</v>
      </c>
      <c r="E13" s="13" t="s">
        <v>197</v>
      </c>
      <c r="F13" s="10" t="s">
        <v>186</v>
      </c>
      <c r="G13" s="13" t="s">
        <v>198</v>
      </c>
      <c r="H13" s="14" t="s">
        <v>199</v>
      </c>
      <c r="I13" s="11" t="s">
        <v>64</v>
      </c>
      <c r="J13" s="11" t="s">
        <v>73</v>
      </c>
      <c r="K13" s="15">
        <f t="shared" si="0"/>
        <v>50</v>
      </c>
      <c r="L13" s="13" t="s">
        <v>200</v>
      </c>
      <c r="M13" s="11" t="s">
        <v>95</v>
      </c>
      <c r="N13" s="10" t="s">
        <v>84</v>
      </c>
      <c r="O13" s="13" t="s">
        <v>176</v>
      </c>
      <c r="P13" s="11" t="s">
        <v>89</v>
      </c>
      <c r="Q13" s="16">
        <v>46204</v>
      </c>
      <c r="R13" s="15" t="str">
        <f t="shared" si="1"/>
        <v>نعم</v>
      </c>
      <c r="S13" s="17" t="str">
        <f t="shared" si="2"/>
        <v>تحليل فجوة + تدقيق</v>
      </c>
      <c r="T13" s="15" t="str">
        <f t="shared" si="3"/>
        <v>عالية</v>
      </c>
      <c r="U13" s="11" t="str">
        <f t="shared" si="4"/>
        <v>ISO 23592:2021|7.2.1</v>
      </c>
      <c r="V13" s="11" t="str">
        <f>IF($T13="حرجة",COUNTIF($T$4:$T13,"حرجة"),"")</f>
        <v/>
      </c>
    </row>
    <row r="14" spans="1:22" ht="40" customHeight="1" x14ac:dyDescent="0.3">
      <c r="A14" s="11">
        <v>11</v>
      </c>
      <c r="B14" s="10" t="s">
        <v>8</v>
      </c>
      <c r="C14" s="11" t="s">
        <v>201</v>
      </c>
      <c r="D14" s="12" t="s">
        <v>202</v>
      </c>
      <c r="E14" s="13" t="s">
        <v>203</v>
      </c>
      <c r="F14" s="10" t="s">
        <v>186</v>
      </c>
      <c r="G14" s="13" t="s">
        <v>204</v>
      </c>
      <c r="H14" s="14" t="s">
        <v>199</v>
      </c>
      <c r="I14" s="11" t="s">
        <v>75</v>
      </c>
      <c r="J14" s="11" t="s">
        <v>62</v>
      </c>
      <c r="K14" s="15">
        <f t="shared" si="0"/>
        <v>100</v>
      </c>
      <c r="L14" s="13" t="s">
        <v>167</v>
      </c>
      <c r="M14" s="11" t="s">
        <v>76</v>
      </c>
      <c r="N14" s="10" t="s">
        <v>63</v>
      </c>
      <c r="O14" s="13" t="s">
        <v>161</v>
      </c>
      <c r="P14" s="11" t="s">
        <v>98</v>
      </c>
      <c r="Q14" s="16">
        <v>46207</v>
      </c>
      <c r="R14" s="15" t="str">
        <f t="shared" si="1"/>
        <v>لا</v>
      </c>
      <c r="S14" s="17" t="str">
        <f t="shared" si="2"/>
        <v>—</v>
      </c>
      <c r="T14" s="15" t="str">
        <f t="shared" si="3"/>
        <v>—</v>
      </c>
      <c r="U14" s="11" t="str">
        <f t="shared" si="4"/>
        <v>ISO 23592:2021|7.2.2</v>
      </c>
      <c r="V14" s="11" t="str">
        <f>IF($T14="حرجة",COUNTIF($T$4:$T14,"حرجة"),"")</f>
        <v/>
      </c>
    </row>
    <row r="15" spans="1:22" ht="40" customHeight="1" x14ac:dyDescent="0.3">
      <c r="A15" s="11">
        <v>12</v>
      </c>
      <c r="B15" s="10" t="s">
        <v>8</v>
      </c>
      <c r="C15" s="11" t="s">
        <v>205</v>
      </c>
      <c r="D15" s="12" t="s">
        <v>206</v>
      </c>
      <c r="E15" s="13" t="s">
        <v>207</v>
      </c>
      <c r="F15" s="10" t="s">
        <v>186</v>
      </c>
      <c r="G15" s="13" t="s">
        <v>208</v>
      </c>
      <c r="H15" s="14" t="s">
        <v>209</v>
      </c>
      <c r="I15" s="11" t="s">
        <v>64</v>
      </c>
      <c r="J15" s="11" t="s">
        <v>83</v>
      </c>
      <c r="K15" s="15">
        <f t="shared" si="0"/>
        <v>0</v>
      </c>
      <c r="L15" s="13" t="s">
        <v>189</v>
      </c>
      <c r="M15" s="11" t="s">
        <v>109</v>
      </c>
      <c r="N15" s="10" t="s">
        <v>74</v>
      </c>
      <c r="O15" s="13" t="s">
        <v>210</v>
      </c>
      <c r="P15" s="11" t="s">
        <v>69</v>
      </c>
      <c r="Q15" s="16">
        <v>46210</v>
      </c>
      <c r="R15" s="15" t="str">
        <f t="shared" si="1"/>
        <v>نعم</v>
      </c>
      <c r="S15" s="17" t="str">
        <f t="shared" si="2"/>
        <v>تحليل فجوة + تدقيق</v>
      </c>
      <c r="T15" s="15" t="str">
        <f t="shared" si="3"/>
        <v>حرجة</v>
      </c>
      <c r="U15" s="11" t="str">
        <f t="shared" si="4"/>
        <v>ISO 23592:2021|7.3.1</v>
      </c>
      <c r="V15" s="11">
        <f>IF($T15="حرجة",COUNTIF($T$4:$T15,"حرجة"),"")</f>
        <v>2</v>
      </c>
    </row>
    <row r="16" spans="1:22" ht="40" customHeight="1" x14ac:dyDescent="0.3">
      <c r="A16" s="11">
        <v>13</v>
      </c>
      <c r="B16" s="10" t="s">
        <v>8</v>
      </c>
      <c r="C16" s="11" t="s">
        <v>211</v>
      </c>
      <c r="D16" s="12" t="s">
        <v>212</v>
      </c>
      <c r="E16" s="13" t="s">
        <v>213</v>
      </c>
      <c r="F16" s="10" t="s">
        <v>186</v>
      </c>
      <c r="G16" s="13" t="s">
        <v>214</v>
      </c>
      <c r="H16" s="14" t="s">
        <v>215</v>
      </c>
      <c r="I16" s="11" t="s">
        <v>75</v>
      </c>
      <c r="J16" s="11" t="s">
        <v>73</v>
      </c>
      <c r="K16" s="15">
        <f t="shared" si="0"/>
        <v>50</v>
      </c>
      <c r="L16" s="13" t="s">
        <v>216</v>
      </c>
      <c r="M16" s="11" t="s">
        <v>95</v>
      </c>
      <c r="N16" s="10" t="s">
        <v>94</v>
      </c>
      <c r="O16" s="13" t="s">
        <v>217</v>
      </c>
      <c r="P16" s="11" t="s">
        <v>79</v>
      </c>
      <c r="Q16" s="16">
        <v>46213</v>
      </c>
      <c r="R16" s="15" t="str">
        <f t="shared" si="1"/>
        <v>نعم</v>
      </c>
      <c r="S16" s="17" t="str">
        <f t="shared" si="2"/>
        <v>تحليل فجوة</v>
      </c>
      <c r="T16" s="15" t="str">
        <f t="shared" si="3"/>
        <v>متوسطة</v>
      </c>
      <c r="U16" s="11" t="str">
        <f t="shared" si="4"/>
        <v>ISO 23592:2021|7.3.2</v>
      </c>
      <c r="V16" s="11" t="str">
        <f>IF($T16="حرجة",COUNTIF($T$4:$T16,"حرجة"),"")</f>
        <v/>
      </c>
    </row>
    <row r="17" spans="1:22" ht="40" customHeight="1" x14ac:dyDescent="0.3">
      <c r="A17" s="11">
        <v>14</v>
      </c>
      <c r="B17" s="10" t="s">
        <v>8</v>
      </c>
      <c r="C17" s="11" t="s">
        <v>218</v>
      </c>
      <c r="D17" s="12" t="s">
        <v>219</v>
      </c>
      <c r="E17" s="13" t="s">
        <v>220</v>
      </c>
      <c r="F17" s="10" t="s">
        <v>186</v>
      </c>
      <c r="G17" s="13" t="s">
        <v>221</v>
      </c>
      <c r="H17" s="14" t="s">
        <v>222</v>
      </c>
      <c r="I17" s="11" t="s">
        <v>64</v>
      </c>
      <c r="J17" s="11" t="s">
        <v>62</v>
      </c>
      <c r="K17" s="15">
        <f t="shared" si="0"/>
        <v>100</v>
      </c>
      <c r="L17" s="13" t="s">
        <v>182</v>
      </c>
      <c r="M17" s="11" t="s">
        <v>66</v>
      </c>
      <c r="N17" s="10" t="s">
        <v>102</v>
      </c>
      <c r="O17" s="13" t="s">
        <v>168</v>
      </c>
      <c r="P17" s="11" t="s">
        <v>89</v>
      </c>
      <c r="Q17" s="16">
        <v>46216</v>
      </c>
      <c r="R17" s="15" t="str">
        <f t="shared" si="1"/>
        <v>لا</v>
      </c>
      <c r="S17" s="17" t="str">
        <f t="shared" si="2"/>
        <v>—</v>
      </c>
      <c r="T17" s="15" t="str">
        <f t="shared" si="3"/>
        <v>—</v>
      </c>
      <c r="U17" s="11" t="str">
        <f t="shared" si="4"/>
        <v>ISO 23592:2021|7.3.3</v>
      </c>
      <c r="V17" s="11" t="str">
        <f>IF($T17="حرجة",COUNTIF($T$4:$T17,"حرجة"),"")</f>
        <v/>
      </c>
    </row>
    <row r="18" spans="1:22" ht="40" customHeight="1" x14ac:dyDescent="0.3">
      <c r="A18" s="11">
        <v>15</v>
      </c>
      <c r="B18" s="10" t="s">
        <v>8</v>
      </c>
      <c r="C18" s="11" t="s">
        <v>223</v>
      </c>
      <c r="D18" s="12" t="s">
        <v>224</v>
      </c>
      <c r="E18" s="13" t="s">
        <v>225</v>
      </c>
      <c r="F18" s="10" t="s">
        <v>186</v>
      </c>
      <c r="G18" s="13" t="s">
        <v>226</v>
      </c>
      <c r="H18" s="14" t="s">
        <v>227</v>
      </c>
      <c r="I18" s="11" t="s">
        <v>64</v>
      </c>
      <c r="J18" s="11" t="s">
        <v>73</v>
      </c>
      <c r="K18" s="15">
        <f t="shared" si="0"/>
        <v>50</v>
      </c>
      <c r="L18" s="13" t="s">
        <v>228</v>
      </c>
      <c r="M18" s="11" t="s">
        <v>66</v>
      </c>
      <c r="N18" s="10" t="s">
        <v>63</v>
      </c>
      <c r="O18" s="13" t="s">
        <v>229</v>
      </c>
      <c r="P18" s="11" t="s">
        <v>98</v>
      </c>
      <c r="Q18" s="16">
        <v>46219</v>
      </c>
      <c r="R18" s="15" t="str">
        <f t="shared" si="1"/>
        <v>نعم</v>
      </c>
      <c r="S18" s="17" t="str">
        <f t="shared" si="2"/>
        <v>تحليل فجوة</v>
      </c>
      <c r="T18" s="15" t="str">
        <f t="shared" si="3"/>
        <v>عالية</v>
      </c>
      <c r="U18" s="11" t="str">
        <f t="shared" si="4"/>
        <v>ISO 23592:2021|7.4.1</v>
      </c>
      <c r="V18" s="11" t="str">
        <f>IF($T18="حرجة",COUNTIF($T$4:$T18,"حرجة"),"")</f>
        <v/>
      </c>
    </row>
    <row r="19" spans="1:22" ht="40" customHeight="1" x14ac:dyDescent="0.3">
      <c r="A19" s="11">
        <v>16</v>
      </c>
      <c r="B19" s="10" t="s">
        <v>8</v>
      </c>
      <c r="C19" s="11" t="s">
        <v>230</v>
      </c>
      <c r="D19" s="12" t="s">
        <v>231</v>
      </c>
      <c r="E19" s="13" t="s">
        <v>232</v>
      </c>
      <c r="F19" s="10" t="s">
        <v>233</v>
      </c>
      <c r="G19" s="13" t="s">
        <v>234</v>
      </c>
      <c r="H19" s="14" t="s">
        <v>235</v>
      </c>
      <c r="I19" s="11" t="s">
        <v>64</v>
      </c>
      <c r="J19" s="11" t="s">
        <v>62</v>
      </c>
      <c r="K19" s="15">
        <f t="shared" si="0"/>
        <v>100</v>
      </c>
      <c r="L19" s="13" t="s">
        <v>160</v>
      </c>
      <c r="M19" s="11" t="s">
        <v>66</v>
      </c>
      <c r="N19" s="10" t="s">
        <v>63</v>
      </c>
      <c r="O19" s="13" t="s">
        <v>161</v>
      </c>
      <c r="P19" s="11" t="s">
        <v>69</v>
      </c>
      <c r="Q19" s="16">
        <v>46176</v>
      </c>
      <c r="R19" s="15" t="str">
        <f t="shared" si="1"/>
        <v>لا</v>
      </c>
      <c r="S19" s="17" t="str">
        <f t="shared" si="2"/>
        <v>—</v>
      </c>
      <c r="T19" s="15" t="str">
        <f t="shared" si="3"/>
        <v>—</v>
      </c>
      <c r="U19" s="11" t="str">
        <f t="shared" si="4"/>
        <v>ISO 23592:2021|7.4.2</v>
      </c>
      <c r="V19" s="11" t="str">
        <f>IF($T19="حرجة",COUNTIF($T$4:$T19,"حرجة"),"")</f>
        <v/>
      </c>
    </row>
    <row r="20" spans="1:22" ht="40" customHeight="1" x14ac:dyDescent="0.3">
      <c r="A20" s="11">
        <v>17</v>
      </c>
      <c r="B20" s="10" t="s">
        <v>10</v>
      </c>
      <c r="C20" s="11" t="s">
        <v>144</v>
      </c>
      <c r="D20" s="12" t="s">
        <v>145</v>
      </c>
      <c r="E20" s="13" t="s">
        <v>146</v>
      </c>
      <c r="F20" s="10" t="s">
        <v>147</v>
      </c>
      <c r="G20" s="13" t="s">
        <v>148</v>
      </c>
      <c r="H20" s="14" t="s">
        <v>236</v>
      </c>
      <c r="I20" s="11" t="s">
        <v>75</v>
      </c>
      <c r="J20" s="11" t="s">
        <v>93</v>
      </c>
      <c r="K20" s="15" t="str">
        <f t="shared" si="0"/>
        <v/>
      </c>
      <c r="L20" s="13" t="s">
        <v>149</v>
      </c>
      <c r="M20" s="11" t="s">
        <v>66</v>
      </c>
      <c r="N20" s="10" t="s">
        <v>108</v>
      </c>
      <c r="O20" s="13" t="s">
        <v>150</v>
      </c>
      <c r="P20" s="11" t="s">
        <v>79</v>
      </c>
      <c r="Q20" s="16">
        <v>46179</v>
      </c>
      <c r="R20" s="15" t="str">
        <f t="shared" si="1"/>
        <v>لا</v>
      </c>
      <c r="S20" s="17" t="str">
        <f t="shared" si="2"/>
        <v>—</v>
      </c>
      <c r="T20" s="15" t="str">
        <f t="shared" si="3"/>
        <v>—</v>
      </c>
      <c r="U20" s="11" t="str">
        <f t="shared" si="4"/>
        <v>ISO 10001:2018|1</v>
      </c>
      <c r="V20" s="11" t="str">
        <f>IF($T20="حرجة",COUNTIF($T$4:$T20,"حرجة"),"")</f>
        <v/>
      </c>
    </row>
    <row r="21" spans="1:22" ht="40" customHeight="1" x14ac:dyDescent="0.3">
      <c r="A21" s="11">
        <v>18</v>
      </c>
      <c r="B21" s="10" t="s">
        <v>10</v>
      </c>
      <c r="C21" s="11" t="s">
        <v>151</v>
      </c>
      <c r="D21" s="12" t="s">
        <v>152</v>
      </c>
      <c r="E21" s="13" t="s">
        <v>153</v>
      </c>
      <c r="F21" s="10" t="s">
        <v>147</v>
      </c>
      <c r="G21" s="13" t="s">
        <v>148</v>
      </c>
      <c r="H21" s="14" t="s">
        <v>236</v>
      </c>
      <c r="I21" s="11" t="s">
        <v>75</v>
      </c>
      <c r="J21" s="11" t="s">
        <v>93</v>
      </c>
      <c r="K21" s="15" t="str">
        <f t="shared" si="0"/>
        <v/>
      </c>
      <c r="L21" s="13" t="s">
        <v>149</v>
      </c>
      <c r="M21" s="11" t="s">
        <v>66</v>
      </c>
      <c r="N21" s="10" t="s">
        <v>108</v>
      </c>
      <c r="O21" s="13" t="s">
        <v>150</v>
      </c>
      <c r="P21" s="11" t="s">
        <v>89</v>
      </c>
      <c r="Q21" s="16">
        <v>46182</v>
      </c>
      <c r="R21" s="15" t="str">
        <f t="shared" si="1"/>
        <v>لا</v>
      </c>
      <c r="S21" s="17" t="str">
        <f t="shared" si="2"/>
        <v>—</v>
      </c>
      <c r="T21" s="15" t="str">
        <f t="shared" si="3"/>
        <v>—</v>
      </c>
      <c r="U21" s="11" t="str">
        <f t="shared" si="4"/>
        <v>ISO 10001:2018|2</v>
      </c>
      <c r="V21" s="11" t="str">
        <f>IF($T21="حرجة",COUNTIF($T$4:$T21,"حرجة"),"")</f>
        <v/>
      </c>
    </row>
    <row r="22" spans="1:22" ht="40" customHeight="1" x14ac:dyDescent="0.3">
      <c r="A22" s="11">
        <v>19</v>
      </c>
      <c r="B22" s="10" t="s">
        <v>10</v>
      </c>
      <c r="C22" s="11" t="s">
        <v>154</v>
      </c>
      <c r="D22" s="12" t="s">
        <v>155</v>
      </c>
      <c r="E22" s="13" t="s">
        <v>156</v>
      </c>
      <c r="F22" s="10" t="s">
        <v>157</v>
      </c>
      <c r="G22" s="13" t="s">
        <v>158</v>
      </c>
      <c r="H22" s="14" t="s">
        <v>159</v>
      </c>
      <c r="I22" s="11" t="s">
        <v>64</v>
      </c>
      <c r="J22" s="11" t="s">
        <v>73</v>
      </c>
      <c r="K22" s="15">
        <f t="shared" si="0"/>
        <v>50</v>
      </c>
      <c r="L22" s="13" t="s">
        <v>175</v>
      </c>
      <c r="M22" s="11" t="s">
        <v>86</v>
      </c>
      <c r="N22" s="10" t="s">
        <v>84</v>
      </c>
      <c r="O22" s="13" t="s">
        <v>217</v>
      </c>
      <c r="P22" s="11" t="s">
        <v>98</v>
      </c>
      <c r="Q22" s="16">
        <v>46185</v>
      </c>
      <c r="R22" s="15" t="str">
        <f t="shared" si="1"/>
        <v>نعم</v>
      </c>
      <c r="S22" s="17" t="str">
        <f t="shared" si="2"/>
        <v>تحليل فجوة + تدقيق</v>
      </c>
      <c r="T22" s="15" t="str">
        <f t="shared" si="3"/>
        <v>عالية</v>
      </c>
      <c r="U22" s="11" t="str">
        <f t="shared" si="4"/>
        <v>ISO 10001:2018|3</v>
      </c>
      <c r="V22" s="11" t="str">
        <f>IF($T22="حرجة",COUNTIF($T$4:$T22,"حرجة"),"")</f>
        <v/>
      </c>
    </row>
    <row r="23" spans="1:22" ht="40" customHeight="1" x14ac:dyDescent="0.3">
      <c r="A23" s="11">
        <v>20</v>
      </c>
      <c r="B23" s="10" t="s">
        <v>10</v>
      </c>
      <c r="C23" s="11" t="s">
        <v>237</v>
      </c>
      <c r="D23" s="12" t="s">
        <v>238</v>
      </c>
      <c r="E23" s="13" t="s">
        <v>239</v>
      </c>
      <c r="F23" s="10" t="s">
        <v>180</v>
      </c>
      <c r="G23" s="13" t="s">
        <v>240</v>
      </c>
      <c r="H23" s="14" t="s">
        <v>174</v>
      </c>
      <c r="I23" s="11" t="s">
        <v>64</v>
      </c>
      <c r="J23" s="11" t="s">
        <v>62</v>
      </c>
      <c r="K23" s="15">
        <f t="shared" si="0"/>
        <v>100</v>
      </c>
      <c r="L23" s="13" t="s">
        <v>241</v>
      </c>
      <c r="M23" s="11" t="s">
        <v>86</v>
      </c>
      <c r="N23" s="10" t="s">
        <v>63</v>
      </c>
      <c r="O23" s="13" t="s">
        <v>161</v>
      </c>
      <c r="P23" s="11" t="s">
        <v>69</v>
      </c>
      <c r="Q23" s="16">
        <v>46188</v>
      </c>
      <c r="R23" s="15" t="str">
        <f t="shared" si="1"/>
        <v>لا</v>
      </c>
      <c r="S23" s="17" t="str">
        <f t="shared" si="2"/>
        <v>—</v>
      </c>
      <c r="T23" s="15" t="str">
        <f t="shared" si="3"/>
        <v>—</v>
      </c>
      <c r="U23" s="11" t="str">
        <f t="shared" si="4"/>
        <v>ISO 10001:2018|4.1</v>
      </c>
      <c r="V23" s="11" t="str">
        <f>IF($T23="حرجة",COUNTIF($T$4:$T23,"حرجة"),"")</f>
        <v/>
      </c>
    </row>
    <row r="24" spans="1:22" ht="40" customHeight="1" x14ac:dyDescent="0.3">
      <c r="A24" s="11">
        <v>21</v>
      </c>
      <c r="B24" s="10" t="s">
        <v>10</v>
      </c>
      <c r="C24" s="11" t="s">
        <v>242</v>
      </c>
      <c r="D24" s="12" t="s">
        <v>243</v>
      </c>
      <c r="E24" s="13" t="s">
        <v>244</v>
      </c>
      <c r="F24" s="10" t="s">
        <v>172</v>
      </c>
      <c r="G24" s="13" t="s">
        <v>245</v>
      </c>
      <c r="H24" s="14" t="s">
        <v>174</v>
      </c>
      <c r="I24" s="11" t="s">
        <v>64</v>
      </c>
      <c r="J24" s="11" t="s">
        <v>73</v>
      </c>
      <c r="K24" s="15">
        <f t="shared" si="0"/>
        <v>50</v>
      </c>
      <c r="L24" s="13" t="s">
        <v>200</v>
      </c>
      <c r="M24" s="11" t="s">
        <v>86</v>
      </c>
      <c r="N24" s="10" t="s">
        <v>84</v>
      </c>
      <c r="O24" s="13" t="s">
        <v>229</v>
      </c>
      <c r="P24" s="11" t="s">
        <v>79</v>
      </c>
      <c r="Q24" s="16">
        <v>46191</v>
      </c>
      <c r="R24" s="15" t="str">
        <f t="shared" si="1"/>
        <v>نعم</v>
      </c>
      <c r="S24" s="17" t="str">
        <f t="shared" si="2"/>
        <v>تحليل فجوة + تدقيق</v>
      </c>
      <c r="T24" s="15" t="str">
        <f t="shared" si="3"/>
        <v>عالية</v>
      </c>
      <c r="U24" s="11" t="str">
        <f t="shared" si="4"/>
        <v>ISO 10001:2018|4.2</v>
      </c>
      <c r="V24" s="11" t="str">
        <f>IF($T24="حرجة",COUNTIF($T$4:$T24,"حرجة"),"")</f>
        <v/>
      </c>
    </row>
    <row r="25" spans="1:22" ht="40" customHeight="1" x14ac:dyDescent="0.3">
      <c r="A25" s="11">
        <v>22</v>
      </c>
      <c r="B25" s="10" t="s">
        <v>10</v>
      </c>
      <c r="C25" s="11" t="s">
        <v>246</v>
      </c>
      <c r="D25" s="12" t="s">
        <v>247</v>
      </c>
      <c r="E25" s="13" t="s">
        <v>248</v>
      </c>
      <c r="F25" s="10" t="s">
        <v>172</v>
      </c>
      <c r="G25" s="13" t="s">
        <v>249</v>
      </c>
      <c r="H25" s="14" t="s">
        <v>174</v>
      </c>
      <c r="I25" s="11" t="s">
        <v>75</v>
      </c>
      <c r="J25" s="11" t="s">
        <v>73</v>
      </c>
      <c r="K25" s="15">
        <f t="shared" si="0"/>
        <v>50</v>
      </c>
      <c r="L25" s="13" t="s">
        <v>142</v>
      </c>
      <c r="M25" s="11" t="s">
        <v>66</v>
      </c>
      <c r="N25" s="10" t="s">
        <v>102</v>
      </c>
      <c r="O25" s="13" t="s">
        <v>217</v>
      </c>
      <c r="P25" s="11" t="s">
        <v>89</v>
      </c>
      <c r="Q25" s="16">
        <v>46194</v>
      </c>
      <c r="R25" s="15" t="str">
        <f t="shared" si="1"/>
        <v>نعم</v>
      </c>
      <c r="S25" s="17" t="str">
        <f t="shared" si="2"/>
        <v>تحليل فجوة</v>
      </c>
      <c r="T25" s="15" t="str">
        <f t="shared" si="3"/>
        <v>متوسطة</v>
      </c>
      <c r="U25" s="11" t="str">
        <f t="shared" si="4"/>
        <v>ISO 10001:2018|4.3</v>
      </c>
      <c r="V25" s="11" t="str">
        <f>IF($T25="حرجة",COUNTIF($T$4:$T25,"حرجة"),"")</f>
        <v/>
      </c>
    </row>
    <row r="26" spans="1:22" ht="40" customHeight="1" x14ac:dyDescent="0.3">
      <c r="A26" s="11">
        <v>23</v>
      </c>
      <c r="B26" s="10" t="s">
        <v>10</v>
      </c>
      <c r="C26" s="11" t="s">
        <v>250</v>
      </c>
      <c r="D26" s="12" t="s">
        <v>251</v>
      </c>
      <c r="E26" s="13" t="s">
        <v>252</v>
      </c>
      <c r="F26" s="10" t="s">
        <v>172</v>
      </c>
      <c r="G26" s="13" t="s">
        <v>253</v>
      </c>
      <c r="H26" s="14" t="s">
        <v>174</v>
      </c>
      <c r="I26" s="11" t="s">
        <v>75</v>
      </c>
      <c r="J26" s="11" t="s">
        <v>62</v>
      </c>
      <c r="K26" s="15">
        <f t="shared" si="0"/>
        <v>100</v>
      </c>
      <c r="L26" s="13" t="s">
        <v>254</v>
      </c>
      <c r="M26" s="11" t="s">
        <v>86</v>
      </c>
      <c r="N26" s="10" t="s">
        <v>63</v>
      </c>
      <c r="O26" s="13" t="s">
        <v>161</v>
      </c>
      <c r="P26" s="11" t="s">
        <v>98</v>
      </c>
      <c r="Q26" s="16">
        <v>46197</v>
      </c>
      <c r="R26" s="15" t="str">
        <f t="shared" si="1"/>
        <v>لا</v>
      </c>
      <c r="S26" s="17" t="str">
        <f t="shared" si="2"/>
        <v>—</v>
      </c>
      <c r="T26" s="15" t="str">
        <f t="shared" si="3"/>
        <v>—</v>
      </c>
      <c r="U26" s="11" t="str">
        <f t="shared" si="4"/>
        <v>ISO 10001:2018|4.4</v>
      </c>
      <c r="V26" s="11" t="str">
        <f>IF($T26="حرجة",COUNTIF($T$4:$T26,"حرجة"),"")</f>
        <v/>
      </c>
    </row>
    <row r="27" spans="1:22" ht="40" customHeight="1" x14ac:dyDescent="0.3">
      <c r="A27" s="11">
        <v>24</v>
      </c>
      <c r="B27" s="10" t="s">
        <v>10</v>
      </c>
      <c r="C27" s="11" t="s">
        <v>255</v>
      </c>
      <c r="D27" s="12" t="s">
        <v>256</v>
      </c>
      <c r="E27" s="13" t="s">
        <v>257</v>
      </c>
      <c r="F27" s="10" t="s">
        <v>172</v>
      </c>
      <c r="G27" s="13" t="s">
        <v>258</v>
      </c>
      <c r="H27" s="14" t="s">
        <v>174</v>
      </c>
      <c r="I27" s="11" t="s">
        <v>64</v>
      </c>
      <c r="J27" s="11" t="s">
        <v>73</v>
      </c>
      <c r="K27" s="15">
        <f t="shared" si="0"/>
        <v>50</v>
      </c>
      <c r="L27" s="13" t="s">
        <v>228</v>
      </c>
      <c r="M27" s="11" t="s">
        <v>95</v>
      </c>
      <c r="N27" s="10" t="s">
        <v>102</v>
      </c>
      <c r="O27" s="13" t="s">
        <v>217</v>
      </c>
      <c r="P27" s="11" t="s">
        <v>69</v>
      </c>
      <c r="Q27" s="16">
        <v>46200</v>
      </c>
      <c r="R27" s="15" t="str">
        <f t="shared" si="1"/>
        <v>نعم</v>
      </c>
      <c r="S27" s="17" t="str">
        <f t="shared" si="2"/>
        <v>تحليل فجوة</v>
      </c>
      <c r="T27" s="15" t="str">
        <f t="shared" si="3"/>
        <v>عالية</v>
      </c>
      <c r="U27" s="11" t="str">
        <f t="shared" si="4"/>
        <v>ISO 10001:2018|4.5</v>
      </c>
      <c r="V27" s="11" t="str">
        <f>IF($T27="حرجة",COUNTIF($T$4:$T27,"حرجة"),"")</f>
        <v/>
      </c>
    </row>
    <row r="28" spans="1:22" ht="40" customHeight="1" x14ac:dyDescent="0.3">
      <c r="A28" s="11">
        <v>25</v>
      </c>
      <c r="B28" s="10" t="s">
        <v>10</v>
      </c>
      <c r="C28" s="11" t="s">
        <v>259</v>
      </c>
      <c r="D28" s="12" t="s">
        <v>260</v>
      </c>
      <c r="E28" s="13" t="s">
        <v>261</v>
      </c>
      <c r="F28" s="10" t="s">
        <v>172</v>
      </c>
      <c r="G28" s="13" t="s">
        <v>262</v>
      </c>
      <c r="H28" s="14" t="s">
        <v>174</v>
      </c>
      <c r="I28" s="11" t="s">
        <v>85</v>
      </c>
      <c r="J28" s="11" t="s">
        <v>83</v>
      </c>
      <c r="K28" s="15">
        <f t="shared" si="0"/>
        <v>0</v>
      </c>
      <c r="L28" s="13" t="s">
        <v>263</v>
      </c>
      <c r="M28" s="11" t="s">
        <v>109</v>
      </c>
      <c r="N28" s="10" t="s">
        <v>74</v>
      </c>
      <c r="O28" s="13" t="s">
        <v>210</v>
      </c>
      <c r="P28" s="11" t="s">
        <v>79</v>
      </c>
      <c r="Q28" s="16">
        <v>46203</v>
      </c>
      <c r="R28" s="15" t="str">
        <f t="shared" si="1"/>
        <v>نعم</v>
      </c>
      <c r="S28" s="17" t="str">
        <f t="shared" si="2"/>
        <v>تحليل فجوة + تدقيق</v>
      </c>
      <c r="T28" s="15" t="str">
        <f t="shared" si="3"/>
        <v>حرجة</v>
      </c>
      <c r="U28" s="11" t="str">
        <f t="shared" si="4"/>
        <v>ISO 10001:2018|4.6</v>
      </c>
      <c r="V28" s="11">
        <f>IF($T28="حرجة",COUNTIF($T$4:$T28,"حرجة"),"")</f>
        <v>3</v>
      </c>
    </row>
    <row r="29" spans="1:22" ht="40" customHeight="1" x14ac:dyDescent="0.3">
      <c r="A29" s="11">
        <v>26</v>
      </c>
      <c r="B29" s="10" t="s">
        <v>10</v>
      </c>
      <c r="C29" s="11" t="s">
        <v>264</v>
      </c>
      <c r="D29" s="12" t="s">
        <v>265</v>
      </c>
      <c r="E29" s="13" t="s">
        <v>266</v>
      </c>
      <c r="F29" s="10" t="s">
        <v>172</v>
      </c>
      <c r="G29" s="13" t="s">
        <v>267</v>
      </c>
      <c r="H29" s="14" t="s">
        <v>174</v>
      </c>
      <c r="I29" s="11" t="s">
        <v>64</v>
      </c>
      <c r="J29" s="11" t="s">
        <v>73</v>
      </c>
      <c r="K29" s="15">
        <f t="shared" si="0"/>
        <v>50</v>
      </c>
      <c r="L29" s="13" t="s">
        <v>216</v>
      </c>
      <c r="M29" s="11" t="s">
        <v>66</v>
      </c>
      <c r="N29" s="10" t="s">
        <v>94</v>
      </c>
      <c r="O29" s="13" t="s">
        <v>143</v>
      </c>
      <c r="P29" s="11" t="s">
        <v>89</v>
      </c>
      <c r="Q29" s="16">
        <v>46206</v>
      </c>
      <c r="R29" s="15" t="str">
        <f t="shared" si="1"/>
        <v>نعم</v>
      </c>
      <c r="S29" s="17" t="str">
        <f t="shared" si="2"/>
        <v>تحليل فجوة</v>
      </c>
      <c r="T29" s="15" t="str">
        <f t="shared" si="3"/>
        <v>عالية</v>
      </c>
      <c r="U29" s="11" t="str">
        <f t="shared" si="4"/>
        <v>ISO 10001:2018|4.7</v>
      </c>
      <c r="V29" s="11" t="str">
        <f>IF($T29="حرجة",COUNTIF($T$4:$T29,"حرجة"),"")</f>
        <v/>
      </c>
    </row>
    <row r="30" spans="1:22" ht="40" customHeight="1" x14ac:dyDescent="0.3">
      <c r="A30" s="11">
        <v>27</v>
      </c>
      <c r="B30" s="10" t="s">
        <v>10</v>
      </c>
      <c r="C30" s="11" t="s">
        <v>268</v>
      </c>
      <c r="D30" s="12" t="s">
        <v>269</v>
      </c>
      <c r="E30" s="13" t="s">
        <v>270</v>
      </c>
      <c r="F30" s="10" t="s">
        <v>172</v>
      </c>
      <c r="G30" s="13" t="s">
        <v>271</v>
      </c>
      <c r="H30" s="14" t="s">
        <v>174</v>
      </c>
      <c r="I30" s="11" t="s">
        <v>64</v>
      </c>
      <c r="J30" s="11" t="s">
        <v>73</v>
      </c>
      <c r="K30" s="15">
        <f t="shared" si="0"/>
        <v>50</v>
      </c>
      <c r="L30" s="13" t="s">
        <v>175</v>
      </c>
      <c r="M30" s="11" t="s">
        <v>66</v>
      </c>
      <c r="N30" s="10" t="s">
        <v>84</v>
      </c>
      <c r="O30" s="13" t="s">
        <v>217</v>
      </c>
      <c r="P30" s="11" t="s">
        <v>98</v>
      </c>
      <c r="Q30" s="16">
        <v>46209</v>
      </c>
      <c r="R30" s="15" t="str">
        <f t="shared" si="1"/>
        <v>نعم</v>
      </c>
      <c r="S30" s="17" t="str">
        <f t="shared" si="2"/>
        <v>تحليل فجوة + تدقيق</v>
      </c>
      <c r="T30" s="15" t="str">
        <f t="shared" si="3"/>
        <v>عالية</v>
      </c>
      <c r="U30" s="11" t="str">
        <f t="shared" si="4"/>
        <v>ISO 10001:2018|4.8</v>
      </c>
      <c r="V30" s="11" t="str">
        <f>IF($T30="حرجة",COUNTIF($T$4:$T30,"حرجة"),"")</f>
        <v/>
      </c>
    </row>
    <row r="31" spans="1:22" ht="40" customHeight="1" x14ac:dyDescent="0.3">
      <c r="A31" s="11">
        <v>28</v>
      </c>
      <c r="B31" s="10" t="s">
        <v>10</v>
      </c>
      <c r="C31" s="11" t="s">
        <v>272</v>
      </c>
      <c r="D31" s="12" t="s">
        <v>273</v>
      </c>
      <c r="E31" s="13" t="s">
        <v>274</v>
      </c>
      <c r="F31" s="10" t="s">
        <v>172</v>
      </c>
      <c r="G31" s="13" t="s">
        <v>275</v>
      </c>
      <c r="H31" s="14" t="s">
        <v>174</v>
      </c>
      <c r="I31" s="11" t="s">
        <v>75</v>
      </c>
      <c r="J31" s="11" t="s">
        <v>62</v>
      </c>
      <c r="K31" s="15">
        <f t="shared" si="0"/>
        <v>100</v>
      </c>
      <c r="L31" s="13" t="s">
        <v>182</v>
      </c>
      <c r="M31" s="11" t="s">
        <v>95</v>
      </c>
      <c r="N31" s="10" t="s">
        <v>63</v>
      </c>
      <c r="O31" s="13" t="s">
        <v>161</v>
      </c>
      <c r="P31" s="11" t="s">
        <v>69</v>
      </c>
      <c r="Q31" s="16">
        <v>46212</v>
      </c>
      <c r="R31" s="15" t="str">
        <f t="shared" si="1"/>
        <v>لا</v>
      </c>
      <c r="S31" s="17" t="str">
        <f t="shared" si="2"/>
        <v>—</v>
      </c>
      <c r="T31" s="15" t="str">
        <f t="shared" si="3"/>
        <v>—</v>
      </c>
      <c r="U31" s="11" t="str">
        <f t="shared" si="4"/>
        <v>ISO 10001:2018|4.9</v>
      </c>
      <c r="V31" s="11" t="str">
        <f>IF($T31="حرجة",COUNTIF($T$4:$T31,"حرجة"),"")</f>
        <v/>
      </c>
    </row>
    <row r="32" spans="1:22" ht="40" customHeight="1" x14ac:dyDescent="0.3">
      <c r="A32" s="11">
        <v>29</v>
      </c>
      <c r="B32" s="10" t="s">
        <v>10</v>
      </c>
      <c r="C32" s="11" t="s">
        <v>276</v>
      </c>
      <c r="D32" s="12" t="s">
        <v>277</v>
      </c>
      <c r="E32" s="13" t="s">
        <v>278</v>
      </c>
      <c r="F32" s="10" t="s">
        <v>172</v>
      </c>
      <c r="G32" s="13" t="s">
        <v>279</v>
      </c>
      <c r="H32" s="14" t="s">
        <v>174</v>
      </c>
      <c r="I32" s="11" t="s">
        <v>75</v>
      </c>
      <c r="J32" s="11" t="s">
        <v>83</v>
      </c>
      <c r="K32" s="15">
        <f t="shared" si="0"/>
        <v>0</v>
      </c>
      <c r="L32" s="13" t="s">
        <v>280</v>
      </c>
      <c r="M32" s="11" t="s">
        <v>109</v>
      </c>
      <c r="N32" s="10" t="s">
        <v>94</v>
      </c>
      <c r="O32" s="13" t="s">
        <v>281</v>
      </c>
      <c r="P32" s="11" t="s">
        <v>79</v>
      </c>
      <c r="Q32" s="16">
        <v>46215</v>
      </c>
      <c r="R32" s="15" t="str">
        <f t="shared" si="1"/>
        <v>نعم</v>
      </c>
      <c r="S32" s="17" t="str">
        <f t="shared" si="2"/>
        <v>تحليل فجوة</v>
      </c>
      <c r="T32" s="15" t="str">
        <f t="shared" si="3"/>
        <v>عالية</v>
      </c>
      <c r="U32" s="11" t="str">
        <f t="shared" si="4"/>
        <v>ISO 10001:2018|4.10</v>
      </c>
      <c r="V32" s="11" t="str">
        <f>IF($T32="حرجة",COUNTIF($T$4:$T32,"حرجة"),"")</f>
        <v/>
      </c>
    </row>
    <row r="33" spans="1:22" ht="40" customHeight="1" x14ac:dyDescent="0.3">
      <c r="A33" s="11">
        <v>30</v>
      </c>
      <c r="B33" s="10" t="s">
        <v>10</v>
      </c>
      <c r="C33" s="11" t="s">
        <v>282</v>
      </c>
      <c r="D33" s="12" t="s">
        <v>283</v>
      </c>
      <c r="E33" s="13" t="s">
        <v>284</v>
      </c>
      <c r="F33" s="10" t="s">
        <v>172</v>
      </c>
      <c r="G33" s="13" t="s">
        <v>285</v>
      </c>
      <c r="H33" s="14" t="s">
        <v>174</v>
      </c>
      <c r="I33" s="11" t="s">
        <v>64</v>
      </c>
      <c r="J33" s="11" t="s">
        <v>62</v>
      </c>
      <c r="K33" s="15">
        <f t="shared" si="0"/>
        <v>100</v>
      </c>
      <c r="L33" s="13" t="s">
        <v>241</v>
      </c>
      <c r="M33" s="11" t="s">
        <v>103</v>
      </c>
      <c r="N33" s="10" t="s">
        <v>63</v>
      </c>
      <c r="O33" s="13" t="s">
        <v>161</v>
      </c>
      <c r="P33" s="11" t="s">
        <v>89</v>
      </c>
      <c r="Q33" s="16">
        <v>46218</v>
      </c>
      <c r="R33" s="15" t="str">
        <f t="shared" si="1"/>
        <v>لا</v>
      </c>
      <c r="S33" s="17" t="str">
        <f t="shared" si="2"/>
        <v>—</v>
      </c>
      <c r="T33" s="15" t="str">
        <f t="shared" si="3"/>
        <v>—</v>
      </c>
      <c r="U33" s="11" t="str">
        <f t="shared" si="4"/>
        <v>ISO 10001:2018|4.11</v>
      </c>
      <c r="V33" s="11" t="str">
        <f>IF($T33="حرجة",COUNTIF($T$4:$T33,"حرجة"),"")</f>
        <v/>
      </c>
    </row>
    <row r="34" spans="1:22" ht="40" customHeight="1" x14ac:dyDescent="0.3">
      <c r="A34" s="11">
        <v>31</v>
      </c>
      <c r="B34" s="10" t="s">
        <v>10</v>
      </c>
      <c r="C34" s="11" t="s">
        <v>286</v>
      </c>
      <c r="D34" s="12" t="s">
        <v>287</v>
      </c>
      <c r="E34" s="13" t="s">
        <v>288</v>
      </c>
      <c r="F34" s="10" t="s">
        <v>172</v>
      </c>
      <c r="G34" s="13" t="s">
        <v>289</v>
      </c>
      <c r="H34" s="14" t="s">
        <v>174</v>
      </c>
      <c r="I34" s="11" t="s">
        <v>75</v>
      </c>
      <c r="J34" s="11" t="s">
        <v>62</v>
      </c>
      <c r="K34" s="15">
        <f t="shared" si="0"/>
        <v>100</v>
      </c>
      <c r="L34" s="13" t="s">
        <v>254</v>
      </c>
      <c r="M34" s="11" t="s">
        <v>66</v>
      </c>
      <c r="N34" s="10" t="s">
        <v>94</v>
      </c>
      <c r="O34" s="13" t="s">
        <v>290</v>
      </c>
      <c r="P34" s="11" t="s">
        <v>98</v>
      </c>
      <c r="Q34" s="16">
        <v>46175</v>
      </c>
      <c r="R34" s="15" t="str">
        <f t="shared" si="1"/>
        <v>لا</v>
      </c>
      <c r="S34" s="17" t="str">
        <f t="shared" si="2"/>
        <v>—</v>
      </c>
      <c r="T34" s="15" t="str">
        <f t="shared" si="3"/>
        <v>—</v>
      </c>
      <c r="U34" s="11" t="str">
        <f t="shared" si="4"/>
        <v>ISO 10001:2018|4.12</v>
      </c>
      <c r="V34" s="11" t="str">
        <f>IF($T34="حرجة",COUNTIF($T$4:$T34,"حرجة"),"")</f>
        <v/>
      </c>
    </row>
    <row r="35" spans="1:22" ht="40" customHeight="1" x14ac:dyDescent="0.3">
      <c r="A35" s="11">
        <v>32</v>
      </c>
      <c r="B35" s="10" t="s">
        <v>10</v>
      </c>
      <c r="C35" s="11" t="s">
        <v>291</v>
      </c>
      <c r="D35" s="12" t="s">
        <v>292</v>
      </c>
      <c r="E35" s="13" t="s">
        <v>293</v>
      </c>
      <c r="F35" s="10" t="s">
        <v>172</v>
      </c>
      <c r="G35" s="13" t="s">
        <v>294</v>
      </c>
      <c r="H35" s="14" t="s">
        <v>174</v>
      </c>
      <c r="I35" s="11" t="s">
        <v>64</v>
      </c>
      <c r="J35" s="11" t="s">
        <v>73</v>
      </c>
      <c r="K35" s="15">
        <f t="shared" si="0"/>
        <v>50</v>
      </c>
      <c r="L35" s="13" t="s">
        <v>228</v>
      </c>
      <c r="M35" s="11" t="s">
        <v>95</v>
      </c>
      <c r="N35" s="10" t="s">
        <v>102</v>
      </c>
      <c r="O35" s="13" t="s">
        <v>229</v>
      </c>
      <c r="P35" s="11" t="s">
        <v>69</v>
      </c>
      <c r="Q35" s="16">
        <v>46178</v>
      </c>
      <c r="R35" s="15" t="str">
        <f t="shared" si="1"/>
        <v>نعم</v>
      </c>
      <c r="S35" s="17" t="str">
        <f t="shared" si="2"/>
        <v>تحليل فجوة</v>
      </c>
      <c r="T35" s="15" t="str">
        <f t="shared" si="3"/>
        <v>عالية</v>
      </c>
      <c r="U35" s="11" t="str">
        <f t="shared" si="4"/>
        <v>ISO 10001:2018|4.13</v>
      </c>
      <c r="V35" s="11" t="str">
        <f>IF($T35="حرجة",COUNTIF($T$4:$T35,"حرجة"),"")</f>
        <v/>
      </c>
    </row>
    <row r="36" spans="1:22" ht="40" customHeight="1" x14ac:dyDescent="0.3">
      <c r="A36" s="11">
        <v>33</v>
      </c>
      <c r="B36" s="10" t="s">
        <v>10</v>
      </c>
      <c r="C36" s="11" t="s">
        <v>295</v>
      </c>
      <c r="D36" s="12" t="s">
        <v>296</v>
      </c>
      <c r="E36" s="13" t="s">
        <v>297</v>
      </c>
      <c r="F36" s="10" t="s">
        <v>180</v>
      </c>
      <c r="G36" s="13" t="s">
        <v>298</v>
      </c>
      <c r="H36" s="14" t="s">
        <v>299</v>
      </c>
      <c r="I36" s="11" t="s">
        <v>64</v>
      </c>
      <c r="J36" s="11" t="s">
        <v>73</v>
      </c>
      <c r="K36" s="15">
        <f t="shared" ref="K36:K67" si="5">IF($J36="مطبق كلياً",100,IF($J36="مطبق جزئياً",50,IF($J36="غير مطبق",0,"")))</f>
        <v>50</v>
      </c>
      <c r="L36" s="13" t="s">
        <v>175</v>
      </c>
      <c r="M36" s="11" t="s">
        <v>66</v>
      </c>
      <c r="N36" s="10" t="s">
        <v>84</v>
      </c>
      <c r="O36" s="13" t="s">
        <v>229</v>
      </c>
      <c r="P36" s="11" t="s">
        <v>79</v>
      </c>
      <c r="Q36" s="16">
        <v>46181</v>
      </c>
      <c r="R36" s="15" t="str">
        <f t="shared" ref="R36:R67" si="6">IF(OR($J36="غير مطبق",$J36="مطبق جزئياً",$N36="عدم مطابقة كبرى",$N36="عدم مطابقة صغرى"),"نعم","لا")</f>
        <v>نعم</v>
      </c>
      <c r="S36" s="17" t="str">
        <f t="shared" ref="S36:S67" si="7">IF($R36="لا","—",IF(AND(OR($J36="غير مطبق",$J36="مطبق جزئياً"),OR($N36="عدم مطابقة كبرى",$N36="عدم مطابقة صغرى")),"تحليل فجوة + تدقيق",IF(OR($J36="غير مطبق",$J36="مطبق جزئياً"),"تحليل فجوة","تدقيق داخلي")))</f>
        <v>تحليل فجوة + تدقيق</v>
      </c>
      <c r="T36" s="15" t="str">
        <f t="shared" ref="T36:T67" si="8">IF($R36="لا","—",IF(OR($N36="عدم مطابقة كبرى",AND($I36="عالية",$J36="غير مطبق")),"حرجة",IF(OR(AND($I36="عالية",$J36="مطبق جزئياً"),AND($I36="متوسطة",$J36="غير مطبق"),$N36="عدم مطابقة صغرى"),"عالية",IF($I36="منخفضة","منخفضة","متوسطة"))))</f>
        <v>عالية</v>
      </c>
      <c r="U36" s="11" t="str">
        <f t="shared" ref="U36:U67" si="9">$B36&amp;"|"&amp;$C36</f>
        <v>ISO 10001:2018|5.1</v>
      </c>
      <c r="V36" s="11" t="str">
        <f>IF($T36="حرجة",COUNTIF($T$4:$T36,"حرجة"),"")</f>
        <v/>
      </c>
    </row>
    <row r="37" spans="1:22" ht="40" customHeight="1" x14ac:dyDescent="0.3">
      <c r="A37" s="11">
        <v>34</v>
      </c>
      <c r="B37" s="10" t="s">
        <v>10</v>
      </c>
      <c r="C37" s="11" t="s">
        <v>300</v>
      </c>
      <c r="D37" s="12" t="s">
        <v>301</v>
      </c>
      <c r="E37" s="13" t="s">
        <v>302</v>
      </c>
      <c r="F37" s="10" t="s">
        <v>180</v>
      </c>
      <c r="G37" s="13" t="s">
        <v>303</v>
      </c>
      <c r="H37" s="14" t="s">
        <v>236</v>
      </c>
      <c r="I37" s="11" t="s">
        <v>64</v>
      </c>
      <c r="J37" s="11" t="s">
        <v>73</v>
      </c>
      <c r="K37" s="15">
        <f t="shared" si="5"/>
        <v>50</v>
      </c>
      <c r="L37" s="13" t="s">
        <v>216</v>
      </c>
      <c r="M37" s="11" t="s">
        <v>66</v>
      </c>
      <c r="N37" s="10" t="s">
        <v>84</v>
      </c>
      <c r="O37" s="13" t="s">
        <v>143</v>
      </c>
      <c r="P37" s="11" t="s">
        <v>89</v>
      </c>
      <c r="Q37" s="16">
        <v>46184</v>
      </c>
      <c r="R37" s="15" t="str">
        <f t="shared" si="6"/>
        <v>نعم</v>
      </c>
      <c r="S37" s="17" t="str">
        <f t="shared" si="7"/>
        <v>تحليل فجوة + تدقيق</v>
      </c>
      <c r="T37" s="15" t="str">
        <f t="shared" si="8"/>
        <v>عالية</v>
      </c>
      <c r="U37" s="11" t="str">
        <f t="shared" si="9"/>
        <v>ISO 10001:2018|5.2</v>
      </c>
      <c r="V37" s="11" t="str">
        <f>IF($T37="حرجة",COUNTIF($T$4:$T37,"حرجة"),"")</f>
        <v/>
      </c>
    </row>
    <row r="38" spans="1:22" ht="40" customHeight="1" x14ac:dyDescent="0.3">
      <c r="A38" s="11">
        <v>35</v>
      </c>
      <c r="B38" s="10" t="s">
        <v>10</v>
      </c>
      <c r="C38" s="11" t="s">
        <v>304</v>
      </c>
      <c r="D38" s="12" t="s">
        <v>305</v>
      </c>
      <c r="E38" s="13" t="s">
        <v>306</v>
      </c>
      <c r="F38" s="10" t="s">
        <v>180</v>
      </c>
      <c r="G38" s="13" t="s">
        <v>307</v>
      </c>
      <c r="H38" s="14" t="s">
        <v>141</v>
      </c>
      <c r="I38" s="11" t="s">
        <v>64</v>
      </c>
      <c r="J38" s="11" t="s">
        <v>73</v>
      </c>
      <c r="K38" s="15">
        <f t="shared" si="5"/>
        <v>50</v>
      </c>
      <c r="L38" s="13" t="s">
        <v>216</v>
      </c>
      <c r="M38" s="11" t="s">
        <v>66</v>
      </c>
      <c r="N38" s="10" t="s">
        <v>84</v>
      </c>
      <c r="O38" s="13" t="s">
        <v>176</v>
      </c>
      <c r="P38" s="11" t="s">
        <v>98</v>
      </c>
      <c r="Q38" s="16">
        <v>46187</v>
      </c>
      <c r="R38" s="15" t="str">
        <f t="shared" si="6"/>
        <v>نعم</v>
      </c>
      <c r="S38" s="17" t="str">
        <f t="shared" si="7"/>
        <v>تحليل فجوة + تدقيق</v>
      </c>
      <c r="T38" s="15" t="str">
        <f t="shared" si="8"/>
        <v>عالية</v>
      </c>
      <c r="U38" s="11" t="str">
        <f t="shared" si="9"/>
        <v>ISO 10001:2018|5.3</v>
      </c>
      <c r="V38" s="11" t="str">
        <f>IF($T38="حرجة",COUNTIF($T$4:$T38,"حرجة"),"")</f>
        <v/>
      </c>
    </row>
    <row r="39" spans="1:22" ht="40" customHeight="1" x14ac:dyDescent="0.3">
      <c r="A39" s="11">
        <v>36</v>
      </c>
      <c r="B39" s="10" t="s">
        <v>10</v>
      </c>
      <c r="C39" s="11" t="s">
        <v>308</v>
      </c>
      <c r="D39" s="12" t="s">
        <v>309</v>
      </c>
      <c r="E39" s="13" t="s">
        <v>310</v>
      </c>
      <c r="F39" s="10" t="s">
        <v>311</v>
      </c>
      <c r="G39" s="13" t="s">
        <v>312</v>
      </c>
      <c r="H39" s="14" t="s">
        <v>236</v>
      </c>
      <c r="I39" s="11" t="s">
        <v>64</v>
      </c>
      <c r="J39" s="11" t="s">
        <v>73</v>
      </c>
      <c r="K39" s="15">
        <f t="shared" si="5"/>
        <v>50</v>
      </c>
      <c r="L39" s="13" t="s">
        <v>216</v>
      </c>
      <c r="M39" s="11" t="s">
        <v>95</v>
      </c>
      <c r="N39" s="10" t="s">
        <v>94</v>
      </c>
      <c r="O39" s="13" t="s">
        <v>217</v>
      </c>
      <c r="P39" s="11" t="s">
        <v>69</v>
      </c>
      <c r="Q39" s="16">
        <v>46190</v>
      </c>
      <c r="R39" s="15" t="str">
        <f t="shared" si="6"/>
        <v>نعم</v>
      </c>
      <c r="S39" s="17" t="str">
        <f t="shared" si="7"/>
        <v>تحليل فجوة</v>
      </c>
      <c r="T39" s="15" t="str">
        <f t="shared" si="8"/>
        <v>عالية</v>
      </c>
      <c r="U39" s="11" t="str">
        <f t="shared" si="9"/>
        <v>ISO 10001:2018|6.1</v>
      </c>
      <c r="V39" s="11" t="str">
        <f>IF($T39="حرجة",COUNTIF($T$4:$T39,"حرجة"),"")</f>
        <v/>
      </c>
    </row>
    <row r="40" spans="1:22" ht="40" customHeight="1" x14ac:dyDescent="0.3">
      <c r="A40" s="11">
        <v>37</v>
      </c>
      <c r="B40" s="10" t="s">
        <v>10</v>
      </c>
      <c r="C40" s="11" t="s">
        <v>313</v>
      </c>
      <c r="D40" s="12" t="s">
        <v>314</v>
      </c>
      <c r="E40" s="13" t="s">
        <v>315</v>
      </c>
      <c r="F40" s="10" t="s">
        <v>311</v>
      </c>
      <c r="G40" s="13" t="s">
        <v>316</v>
      </c>
      <c r="H40" s="14" t="s">
        <v>236</v>
      </c>
      <c r="I40" s="11" t="s">
        <v>75</v>
      </c>
      <c r="J40" s="11" t="s">
        <v>62</v>
      </c>
      <c r="K40" s="15">
        <f t="shared" si="5"/>
        <v>100</v>
      </c>
      <c r="L40" s="13" t="s">
        <v>254</v>
      </c>
      <c r="M40" s="11" t="s">
        <v>103</v>
      </c>
      <c r="N40" s="10" t="s">
        <v>63</v>
      </c>
      <c r="O40" s="13" t="s">
        <v>161</v>
      </c>
      <c r="P40" s="11" t="s">
        <v>79</v>
      </c>
      <c r="Q40" s="16">
        <v>46193</v>
      </c>
      <c r="R40" s="15" t="str">
        <f t="shared" si="6"/>
        <v>لا</v>
      </c>
      <c r="S40" s="17" t="str">
        <f t="shared" si="7"/>
        <v>—</v>
      </c>
      <c r="T40" s="15" t="str">
        <f t="shared" si="8"/>
        <v>—</v>
      </c>
      <c r="U40" s="11" t="str">
        <f t="shared" si="9"/>
        <v>ISO 10001:2018|6.2</v>
      </c>
      <c r="V40" s="11" t="str">
        <f>IF($T40="حرجة",COUNTIF($T$4:$T40,"حرجة"),"")</f>
        <v/>
      </c>
    </row>
    <row r="41" spans="1:22" ht="40" customHeight="1" x14ac:dyDescent="0.3">
      <c r="A41" s="11">
        <v>38</v>
      </c>
      <c r="B41" s="10" t="s">
        <v>10</v>
      </c>
      <c r="C41" s="11" t="s">
        <v>317</v>
      </c>
      <c r="D41" s="12" t="s">
        <v>318</v>
      </c>
      <c r="E41" s="13" t="s">
        <v>319</v>
      </c>
      <c r="F41" s="10" t="s">
        <v>311</v>
      </c>
      <c r="G41" s="13" t="s">
        <v>320</v>
      </c>
      <c r="H41" s="14" t="s">
        <v>236</v>
      </c>
      <c r="I41" s="11" t="s">
        <v>75</v>
      </c>
      <c r="J41" s="11" t="s">
        <v>62</v>
      </c>
      <c r="K41" s="15">
        <f t="shared" si="5"/>
        <v>100</v>
      </c>
      <c r="L41" s="13" t="s">
        <v>160</v>
      </c>
      <c r="M41" s="11" t="s">
        <v>66</v>
      </c>
      <c r="N41" s="10" t="s">
        <v>63</v>
      </c>
      <c r="O41" s="13" t="s">
        <v>161</v>
      </c>
      <c r="P41" s="11" t="s">
        <v>89</v>
      </c>
      <c r="Q41" s="16">
        <v>46196</v>
      </c>
      <c r="R41" s="15" t="str">
        <f t="shared" si="6"/>
        <v>لا</v>
      </c>
      <c r="S41" s="17" t="str">
        <f t="shared" si="7"/>
        <v>—</v>
      </c>
      <c r="T41" s="15" t="str">
        <f t="shared" si="8"/>
        <v>—</v>
      </c>
      <c r="U41" s="11" t="str">
        <f t="shared" si="9"/>
        <v>ISO 10001:2018|6.3</v>
      </c>
      <c r="V41" s="11" t="str">
        <f>IF($T41="حرجة",COUNTIF($T$4:$T41,"حرجة"),"")</f>
        <v/>
      </c>
    </row>
    <row r="42" spans="1:22" ht="40" customHeight="1" x14ac:dyDescent="0.3">
      <c r="A42" s="11">
        <v>39</v>
      </c>
      <c r="B42" s="10" t="s">
        <v>10</v>
      </c>
      <c r="C42" s="11" t="s">
        <v>321</v>
      </c>
      <c r="D42" s="12" t="s">
        <v>322</v>
      </c>
      <c r="E42" s="13" t="s">
        <v>323</v>
      </c>
      <c r="F42" s="10" t="s">
        <v>311</v>
      </c>
      <c r="G42" s="13" t="s">
        <v>324</v>
      </c>
      <c r="H42" s="14" t="s">
        <v>236</v>
      </c>
      <c r="I42" s="11" t="s">
        <v>75</v>
      </c>
      <c r="J42" s="11" t="s">
        <v>62</v>
      </c>
      <c r="K42" s="15">
        <f t="shared" si="5"/>
        <v>100</v>
      </c>
      <c r="L42" s="13" t="s">
        <v>241</v>
      </c>
      <c r="M42" s="11" t="s">
        <v>76</v>
      </c>
      <c r="N42" s="10" t="s">
        <v>94</v>
      </c>
      <c r="O42" s="13" t="s">
        <v>290</v>
      </c>
      <c r="P42" s="11" t="s">
        <v>98</v>
      </c>
      <c r="Q42" s="16">
        <v>46199</v>
      </c>
      <c r="R42" s="15" t="str">
        <f t="shared" si="6"/>
        <v>لا</v>
      </c>
      <c r="S42" s="17" t="str">
        <f t="shared" si="7"/>
        <v>—</v>
      </c>
      <c r="T42" s="15" t="str">
        <f t="shared" si="8"/>
        <v>—</v>
      </c>
      <c r="U42" s="11" t="str">
        <f t="shared" si="9"/>
        <v>ISO 10001:2018|6.4</v>
      </c>
      <c r="V42" s="11" t="str">
        <f>IF($T42="حرجة",COUNTIF($T$4:$T42,"حرجة"),"")</f>
        <v/>
      </c>
    </row>
    <row r="43" spans="1:22" ht="40" customHeight="1" x14ac:dyDescent="0.3">
      <c r="A43" s="11">
        <v>40</v>
      </c>
      <c r="B43" s="10" t="s">
        <v>10</v>
      </c>
      <c r="C43" s="11" t="s">
        <v>325</v>
      </c>
      <c r="D43" s="12" t="s">
        <v>326</v>
      </c>
      <c r="E43" s="13" t="s">
        <v>327</v>
      </c>
      <c r="F43" s="10" t="s">
        <v>311</v>
      </c>
      <c r="G43" s="13" t="s">
        <v>328</v>
      </c>
      <c r="H43" s="14" t="s">
        <v>329</v>
      </c>
      <c r="I43" s="11" t="s">
        <v>64</v>
      </c>
      <c r="J43" s="11" t="s">
        <v>62</v>
      </c>
      <c r="K43" s="15">
        <f t="shared" si="5"/>
        <v>100</v>
      </c>
      <c r="L43" s="13" t="s">
        <v>182</v>
      </c>
      <c r="M43" s="11" t="s">
        <v>66</v>
      </c>
      <c r="N43" s="10" t="s">
        <v>63</v>
      </c>
      <c r="O43" s="13" t="s">
        <v>161</v>
      </c>
      <c r="P43" s="11" t="s">
        <v>69</v>
      </c>
      <c r="Q43" s="16">
        <v>46202</v>
      </c>
      <c r="R43" s="15" t="str">
        <f t="shared" si="6"/>
        <v>لا</v>
      </c>
      <c r="S43" s="17" t="str">
        <f t="shared" si="7"/>
        <v>—</v>
      </c>
      <c r="T43" s="15" t="str">
        <f t="shared" si="8"/>
        <v>—</v>
      </c>
      <c r="U43" s="11" t="str">
        <f t="shared" si="9"/>
        <v>ISO 10001:2018|6.5</v>
      </c>
      <c r="V43" s="11" t="str">
        <f>IF($T43="حرجة",COUNTIF($T$4:$T43,"حرجة"),"")</f>
        <v/>
      </c>
    </row>
    <row r="44" spans="1:22" ht="40" customHeight="1" x14ac:dyDescent="0.3">
      <c r="A44" s="11">
        <v>41</v>
      </c>
      <c r="B44" s="10" t="s">
        <v>10</v>
      </c>
      <c r="C44" s="11" t="s">
        <v>330</v>
      </c>
      <c r="D44" s="12" t="s">
        <v>331</v>
      </c>
      <c r="E44" s="13" t="s">
        <v>332</v>
      </c>
      <c r="F44" s="10" t="s">
        <v>311</v>
      </c>
      <c r="G44" s="13" t="s">
        <v>333</v>
      </c>
      <c r="H44" s="14" t="s">
        <v>236</v>
      </c>
      <c r="I44" s="11" t="s">
        <v>64</v>
      </c>
      <c r="J44" s="11" t="s">
        <v>62</v>
      </c>
      <c r="K44" s="15">
        <f t="shared" si="5"/>
        <v>100</v>
      </c>
      <c r="L44" s="13" t="s">
        <v>241</v>
      </c>
      <c r="M44" s="11" t="s">
        <v>66</v>
      </c>
      <c r="N44" s="10" t="s">
        <v>102</v>
      </c>
      <c r="O44" s="13" t="s">
        <v>168</v>
      </c>
      <c r="P44" s="11" t="s">
        <v>79</v>
      </c>
      <c r="Q44" s="16">
        <v>46205</v>
      </c>
      <c r="R44" s="15" t="str">
        <f t="shared" si="6"/>
        <v>لا</v>
      </c>
      <c r="S44" s="17" t="str">
        <f t="shared" si="7"/>
        <v>—</v>
      </c>
      <c r="T44" s="15" t="str">
        <f t="shared" si="8"/>
        <v>—</v>
      </c>
      <c r="U44" s="11" t="str">
        <f t="shared" si="9"/>
        <v>ISO 10001:2018|6.6</v>
      </c>
      <c r="V44" s="11" t="str">
        <f>IF($T44="حرجة",COUNTIF($T$4:$T44,"حرجة"),"")</f>
        <v/>
      </c>
    </row>
    <row r="45" spans="1:22" ht="40" customHeight="1" x14ac:dyDescent="0.3">
      <c r="A45" s="11">
        <v>42</v>
      </c>
      <c r="B45" s="10" t="s">
        <v>10</v>
      </c>
      <c r="C45" s="11" t="s">
        <v>334</v>
      </c>
      <c r="D45" s="12" t="s">
        <v>335</v>
      </c>
      <c r="E45" s="13" t="s">
        <v>336</v>
      </c>
      <c r="F45" s="10" t="s">
        <v>311</v>
      </c>
      <c r="G45" s="13" t="s">
        <v>337</v>
      </c>
      <c r="H45" s="14" t="s">
        <v>338</v>
      </c>
      <c r="I45" s="11" t="s">
        <v>64</v>
      </c>
      <c r="J45" s="11" t="s">
        <v>73</v>
      </c>
      <c r="K45" s="15">
        <f t="shared" si="5"/>
        <v>50</v>
      </c>
      <c r="L45" s="13" t="s">
        <v>175</v>
      </c>
      <c r="M45" s="11" t="s">
        <v>66</v>
      </c>
      <c r="N45" s="10" t="s">
        <v>84</v>
      </c>
      <c r="O45" s="13" t="s">
        <v>143</v>
      </c>
      <c r="P45" s="11" t="s">
        <v>89</v>
      </c>
      <c r="Q45" s="16">
        <v>46208</v>
      </c>
      <c r="R45" s="15" t="str">
        <f t="shared" si="6"/>
        <v>نعم</v>
      </c>
      <c r="S45" s="17" t="str">
        <f t="shared" si="7"/>
        <v>تحليل فجوة + تدقيق</v>
      </c>
      <c r="T45" s="15" t="str">
        <f t="shared" si="8"/>
        <v>عالية</v>
      </c>
      <c r="U45" s="11" t="str">
        <f t="shared" si="9"/>
        <v>ISO 10001:2018|6.7</v>
      </c>
      <c r="V45" s="11" t="str">
        <f>IF($T45="حرجة",COUNTIF($T$4:$T45,"حرجة"),"")</f>
        <v/>
      </c>
    </row>
    <row r="46" spans="1:22" ht="40" customHeight="1" x14ac:dyDescent="0.3">
      <c r="A46" s="11">
        <v>43</v>
      </c>
      <c r="B46" s="10" t="s">
        <v>10</v>
      </c>
      <c r="C46" s="11" t="s">
        <v>339</v>
      </c>
      <c r="D46" s="12" t="s">
        <v>340</v>
      </c>
      <c r="E46" s="13" t="s">
        <v>341</v>
      </c>
      <c r="F46" s="10" t="s">
        <v>311</v>
      </c>
      <c r="G46" s="13" t="s">
        <v>342</v>
      </c>
      <c r="H46" s="14" t="s">
        <v>236</v>
      </c>
      <c r="I46" s="11" t="s">
        <v>75</v>
      </c>
      <c r="J46" s="11" t="s">
        <v>62</v>
      </c>
      <c r="K46" s="15">
        <f t="shared" si="5"/>
        <v>100</v>
      </c>
      <c r="L46" s="13" t="s">
        <v>241</v>
      </c>
      <c r="M46" s="11" t="s">
        <v>66</v>
      </c>
      <c r="N46" s="10" t="s">
        <v>63</v>
      </c>
      <c r="O46" s="13" t="s">
        <v>161</v>
      </c>
      <c r="P46" s="11" t="s">
        <v>98</v>
      </c>
      <c r="Q46" s="16">
        <v>46211</v>
      </c>
      <c r="R46" s="15" t="str">
        <f t="shared" si="6"/>
        <v>لا</v>
      </c>
      <c r="S46" s="17" t="str">
        <f t="shared" si="7"/>
        <v>—</v>
      </c>
      <c r="T46" s="15" t="str">
        <f t="shared" si="8"/>
        <v>—</v>
      </c>
      <c r="U46" s="11" t="str">
        <f t="shared" si="9"/>
        <v>ISO 10001:2018|6.8</v>
      </c>
      <c r="V46" s="11" t="str">
        <f>IF($T46="حرجة",COUNTIF($T$4:$T46,"حرجة"),"")</f>
        <v/>
      </c>
    </row>
    <row r="47" spans="1:22" ht="40" customHeight="1" x14ac:dyDescent="0.3">
      <c r="A47" s="11">
        <v>44</v>
      </c>
      <c r="B47" s="10" t="s">
        <v>10</v>
      </c>
      <c r="C47" s="11" t="s">
        <v>343</v>
      </c>
      <c r="D47" s="12" t="s">
        <v>344</v>
      </c>
      <c r="E47" s="13" t="s">
        <v>345</v>
      </c>
      <c r="F47" s="10" t="s">
        <v>186</v>
      </c>
      <c r="G47" s="13" t="s">
        <v>346</v>
      </c>
      <c r="H47" s="14" t="s">
        <v>236</v>
      </c>
      <c r="I47" s="11" t="s">
        <v>64</v>
      </c>
      <c r="J47" s="11" t="s">
        <v>62</v>
      </c>
      <c r="K47" s="15">
        <f t="shared" si="5"/>
        <v>100</v>
      </c>
      <c r="L47" s="13" t="s">
        <v>160</v>
      </c>
      <c r="M47" s="11" t="s">
        <v>86</v>
      </c>
      <c r="N47" s="10" t="s">
        <v>63</v>
      </c>
      <c r="O47" s="13" t="s">
        <v>161</v>
      </c>
      <c r="P47" s="11" t="s">
        <v>69</v>
      </c>
      <c r="Q47" s="16">
        <v>46214</v>
      </c>
      <c r="R47" s="15" t="str">
        <f t="shared" si="6"/>
        <v>لا</v>
      </c>
      <c r="S47" s="17" t="str">
        <f t="shared" si="7"/>
        <v>—</v>
      </c>
      <c r="T47" s="15" t="str">
        <f t="shared" si="8"/>
        <v>—</v>
      </c>
      <c r="U47" s="11" t="str">
        <f t="shared" si="9"/>
        <v>ISO 10001:2018|7</v>
      </c>
      <c r="V47" s="11" t="str">
        <f>IF($T47="حرجة",COUNTIF($T$4:$T47,"حرجة"),"")</f>
        <v/>
      </c>
    </row>
    <row r="48" spans="1:22" ht="40" customHeight="1" x14ac:dyDescent="0.3">
      <c r="A48" s="11">
        <v>45</v>
      </c>
      <c r="B48" s="10" t="s">
        <v>10</v>
      </c>
      <c r="C48" s="11" t="s">
        <v>347</v>
      </c>
      <c r="D48" s="12" t="s">
        <v>348</v>
      </c>
      <c r="E48" s="13" t="s">
        <v>349</v>
      </c>
      <c r="F48" s="10" t="s">
        <v>233</v>
      </c>
      <c r="G48" s="13" t="s">
        <v>350</v>
      </c>
      <c r="H48" s="14" t="s">
        <v>351</v>
      </c>
      <c r="I48" s="11" t="s">
        <v>85</v>
      </c>
      <c r="J48" s="11" t="s">
        <v>73</v>
      </c>
      <c r="K48" s="15">
        <f t="shared" si="5"/>
        <v>50</v>
      </c>
      <c r="L48" s="13" t="s">
        <v>200</v>
      </c>
      <c r="M48" s="11" t="s">
        <v>66</v>
      </c>
      <c r="N48" s="10" t="s">
        <v>102</v>
      </c>
      <c r="O48" s="13" t="s">
        <v>176</v>
      </c>
      <c r="P48" s="11" t="s">
        <v>79</v>
      </c>
      <c r="Q48" s="16">
        <v>46217</v>
      </c>
      <c r="R48" s="15" t="str">
        <f t="shared" si="6"/>
        <v>نعم</v>
      </c>
      <c r="S48" s="17" t="str">
        <f t="shared" si="7"/>
        <v>تحليل فجوة</v>
      </c>
      <c r="T48" s="15" t="str">
        <f t="shared" si="8"/>
        <v>منخفضة</v>
      </c>
      <c r="U48" s="11" t="str">
        <f t="shared" si="9"/>
        <v>ISO 10001:2018|8.1</v>
      </c>
      <c r="V48" s="11" t="str">
        <f>IF($T48="حرجة",COUNTIF($T$4:$T48,"حرجة"),"")</f>
        <v/>
      </c>
    </row>
    <row r="49" spans="1:22" ht="40" customHeight="1" x14ac:dyDescent="0.3">
      <c r="A49" s="11">
        <v>46</v>
      </c>
      <c r="B49" s="10" t="s">
        <v>10</v>
      </c>
      <c r="C49" s="11" t="s">
        <v>352</v>
      </c>
      <c r="D49" s="12" t="s">
        <v>353</v>
      </c>
      <c r="E49" s="13" t="s">
        <v>354</v>
      </c>
      <c r="F49" s="10" t="s">
        <v>233</v>
      </c>
      <c r="G49" s="13" t="s">
        <v>355</v>
      </c>
      <c r="H49" s="14" t="s">
        <v>235</v>
      </c>
      <c r="I49" s="11" t="s">
        <v>75</v>
      </c>
      <c r="J49" s="11" t="s">
        <v>62</v>
      </c>
      <c r="K49" s="15">
        <f t="shared" si="5"/>
        <v>100</v>
      </c>
      <c r="L49" s="13" t="s">
        <v>167</v>
      </c>
      <c r="M49" s="11" t="s">
        <v>76</v>
      </c>
      <c r="N49" s="10" t="s">
        <v>102</v>
      </c>
      <c r="O49" s="13" t="s">
        <v>168</v>
      </c>
      <c r="P49" s="11" t="s">
        <v>89</v>
      </c>
      <c r="Q49" s="16">
        <v>46174</v>
      </c>
      <c r="R49" s="15" t="str">
        <f t="shared" si="6"/>
        <v>لا</v>
      </c>
      <c r="S49" s="17" t="str">
        <f t="shared" si="7"/>
        <v>—</v>
      </c>
      <c r="T49" s="15" t="str">
        <f t="shared" si="8"/>
        <v>—</v>
      </c>
      <c r="U49" s="11" t="str">
        <f t="shared" si="9"/>
        <v>ISO 10001:2018|8.2</v>
      </c>
      <c r="V49" s="11" t="str">
        <f>IF($T49="حرجة",COUNTIF($T$4:$T49,"حرجة"),"")</f>
        <v/>
      </c>
    </row>
    <row r="50" spans="1:22" ht="40" customHeight="1" x14ac:dyDescent="0.3">
      <c r="A50" s="11">
        <v>47</v>
      </c>
      <c r="B50" s="10" t="s">
        <v>10</v>
      </c>
      <c r="C50" s="11" t="s">
        <v>356</v>
      </c>
      <c r="D50" s="12" t="s">
        <v>357</v>
      </c>
      <c r="E50" s="13" t="s">
        <v>358</v>
      </c>
      <c r="F50" s="10" t="s">
        <v>233</v>
      </c>
      <c r="G50" s="13" t="s">
        <v>359</v>
      </c>
      <c r="H50" s="14" t="s">
        <v>360</v>
      </c>
      <c r="I50" s="11" t="s">
        <v>75</v>
      </c>
      <c r="J50" s="11" t="s">
        <v>62</v>
      </c>
      <c r="K50" s="15">
        <f t="shared" si="5"/>
        <v>100</v>
      </c>
      <c r="L50" s="13" t="s">
        <v>241</v>
      </c>
      <c r="M50" s="11" t="s">
        <v>66</v>
      </c>
      <c r="N50" s="10" t="s">
        <v>63</v>
      </c>
      <c r="O50" s="13" t="s">
        <v>161</v>
      </c>
      <c r="P50" s="11" t="s">
        <v>98</v>
      </c>
      <c r="Q50" s="16">
        <v>46177</v>
      </c>
      <c r="R50" s="15" t="str">
        <f t="shared" si="6"/>
        <v>لا</v>
      </c>
      <c r="S50" s="17" t="str">
        <f t="shared" si="7"/>
        <v>—</v>
      </c>
      <c r="T50" s="15" t="str">
        <f t="shared" si="8"/>
        <v>—</v>
      </c>
      <c r="U50" s="11" t="str">
        <f t="shared" si="9"/>
        <v>ISO 10001:2018|8.3</v>
      </c>
      <c r="V50" s="11" t="str">
        <f>IF($T50="حرجة",COUNTIF($T$4:$T50,"حرجة"),"")</f>
        <v/>
      </c>
    </row>
    <row r="51" spans="1:22" ht="40" customHeight="1" x14ac:dyDescent="0.3">
      <c r="A51" s="11">
        <v>48</v>
      </c>
      <c r="B51" s="10" t="s">
        <v>10</v>
      </c>
      <c r="C51" s="11" t="s">
        <v>361</v>
      </c>
      <c r="D51" s="12" t="s">
        <v>362</v>
      </c>
      <c r="E51" s="13" t="s">
        <v>363</v>
      </c>
      <c r="F51" s="10" t="s">
        <v>233</v>
      </c>
      <c r="G51" s="13" t="s">
        <v>364</v>
      </c>
      <c r="H51" s="14" t="s">
        <v>365</v>
      </c>
      <c r="I51" s="11" t="s">
        <v>64</v>
      </c>
      <c r="J51" s="11" t="s">
        <v>83</v>
      </c>
      <c r="K51" s="15">
        <f t="shared" si="5"/>
        <v>0</v>
      </c>
      <c r="L51" s="13" t="s">
        <v>263</v>
      </c>
      <c r="M51" s="11" t="s">
        <v>109</v>
      </c>
      <c r="N51" s="10" t="s">
        <v>94</v>
      </c>
      <c r="O51" s="13" t="s">
        <v>366</v>
      </c>
      <c r="P51" s="11" t="s">
        <v>69</v>
      </c>
      <c r="Q51" s="16">
        <v>46180</v>
      </c>
      <c r="R51" s="15" t="str">
        <f t="shared" si="6"/>
        <v>نعم</v>
      </c>
      <c r="S51" s="17" t="str">
        <f t="shared" si="7"/>
        <v>تحليل فجوة</v>
      </c>
      <c r="T51" s="15" t="str">
        <f t="shared" si="8"/>
        <v>حرجة</v>
      </c>
      <c r="U51" s="11" t="str">
        <f t="shared" si="9"/>
        <v>ISO 10001:2018|8.4</v>
      </c>
      <c r="V51" s="11">
        <f>IF($T51="حرجة",COUNTIF($T$4:$T51,"حرجة"),"")</f>
        <v>4</v>
      </c>
    </row>
    <row r="52" spans="1:22" ht="40" customHeight="1" x14ac:dyDescent="0.3">
      <c r="A52" s="11">
        <v>49</v>
      </c>
      <c r="B52" s="10" t="s">
        <v>10</v>
      </c>
      <c r="C52" s="11" t="s">
        <v>367</v>
      </c>
      <c r="D52" s="12" t="s">
        <v>368</v>
      </c>
      <c r="E52" s="13" t="s">
        <v>369</v>
      </c>
      <c r="F52" s="10" t="s">
        <v>233</v>
      </c>
      <c r="G52" s="13" t="s">
        <v>370</v>
      </c>
      <c r="H52" s="14" t="s">
        <v>371</v>
      </c>
      <c r="I52" s="11" t="s">
        <v>64</v>
      </c>
      <c r="J52" s="11" t="s">
        <v>62</v>
      </c>
      <c r="K52" s="15">
        <f t="shared" si="5"/>
        <v>100</v>
      </c>
      <c r="L52" s="13" t="s">
        <v>182</v>
      </c>
      <c r="M52" s="11" t="s">
        <v>76</v>
      </c>
      <c r="N52" s="10" t="s">
        <v>63</v>
      </c>
      <c r="O52" s="13" t="s">
        <v>161</v>
      </c>
      <c r="P52" s="11" t="s">
        <v>79</v>
      </c>
      <c r="Q52" s="16">
        <v>46183</v>
      </c>
      <c r="R52" s="15" t="str">
        <f t="shared" si="6"/>
        <v>لا</v>
      </c>
      <c r="S52" s="17" t="str">
        <f t="shared" si="7"/>
        <v>—</v>
      </c>
      <c r="T52" s="15" t="str">
        <f t="shared" si="8"/>
        <v>—</v>
      </c>
      <c r="U52" s="11" t="str">
        <f t="shared" si="9"/>
        <v>ISO 10001:2018|8.5</v>
      </c>
      <c r="V52" s="11" t="str">
        <f>IF($T52="حرجة",COUNTIF($T$4:$T52,"حرجة"),"")</f>
        <v/>
      </c>
    </row>
    <row r="53" spans="1:22" ht="40" customHeight="1" x14ac:dyDescent="0.3">
      <c r="A53" s="11">
        <v>50</v>
      </c>
      <c r="B53" s="10" t="s">
        <v>10</v>
      </c>
      <c r="C53" s="11" t="s">
        <v>372</v>
      </c>
      <c r="D53" s="12" t="s">
        <v>373</v>
      </c>
      <c r="E53" s="13" t="s">
        <v>374</v>
      </c>
      <c r="F53" s="10" t="s">
        <v>375</v>
      </c>
      <c r="G53" s="13" t="s">
        <v>376</v>
      </c>
      <c r="H53" s="14" t="s">
        <v>377</v>
      </c>
      <c r="I53" s="11" t="s">
        <v>75</v>
      </c>
      <c r="J53" s="11" t="s">
        <v>62</v>
      </c>
      <c r="K53" s="15">
        <f t="shared" si="5"/>
        <v>100</v>
      </c>
      <c r="L53" s="13" t="s">
        <v>160</v>
      </c>
      <c r="M53" s="11" t="s">
        <v>86</v>
      </c>
      <c r="N53" s="10" t="s">
        <v>102</v>
      </c>
      <c r="O53" s="13" t="s">
        <v>168</v>
      </c>
      <c r="P53" s="11" t="s">
        <v>89</v>
      </c>
      <c r="Q53" s="16">
        <v>46186</v>
      </c>
      <c r="R53" s="15" t="str">
        <f t="shared" si="6"/>
        <v>لا</v>
      </c>
      <c r="S53" s="17" t="str">
        <f t="shared" si="7"/>
        <v>—</v>
      </c>
      <c r="T53" s="15" t="str">
        <f t="shared" si="8"/>
        <v>—</v>
      </c>
      <c r="U53" s="11" t="str">
        <f t="shared" si="9"/>
        <v>ISO 10001:2018|الملحق A</v>
      </c>
      <c r="V53" s="11" t="str">
        <f>IF($T53="حرجة",COUNTIF($T$4:$T53,"حرجة"),"")</f>
        <v/>
      </c>
    </row>
    <row r="54" spans="1:22" ht="40" customHeight="1" x14ac:dyDescent="0.3">
      <c r="A54" s="11">
        <v>51</v>
      </c>
      <c r="B54" s="10" t="s">
        <v>10</v>
      </c>
      <c r="C54" s="11" t="s">
        <v>378</v>
      </c>
      <c r="D54" s="12" t="s">
        <v>379</v>
      </c>
      <c r="E54" s="13" t="s">
        <v>380</v>
      </c>
      <c r="F54" s="10" t="s">
        <v>375</v>
      </c>
      <c r="G54" s="13" t="s">
        <v>381</v>
      </c>
      <c r="H54" s="14" t="s">
        <v>382</v>
      </c>
      <c r="I54" s="11" t="s">
        <v>85</v>
      </c>
      <c r="J54" s="11" t="s">
        <v>83</v>
      </c>
      <c r="K54" s="15">
        <f t="shared" si="5"/>
        <v>0</v>
      </c>
      <c r="L54" s="13" t="s">
        <v>383</v>
      </c>
      <c r="M54" s="11" t="s">
        <v>109</v>
      </c>
      <c r="N54" s="10" t="s">
        <v>84</v>
      </c>
      <c r="O54" s="13" t="s">
        <v>190</v>
      </c>
      <c r="P54" s="11" t="s">
        <v>98</v>
      </c>
      <c r="Q54" s="16">
        <v>46189</v>
      </c>
      <c r="R54" s="15" t="str">
        <f t="shared" si="6"/>
        <v>نعم</v>
      </c>
      <c r="S54" s="17" t="str">
        <f t="shared" si="7"/>
        <v>تحليل فجوة + تدقيق</v>
      </c>
      <c r="T54" s="15" t="str">
        <f t="shared" si="8"/>
        <v>عالية</v>
      </c>
      <c r="U54" s="11" t="str">
        <f t="shared" si="9"/>
        <v>ISO 10001:2018|الملحق B</v>
      </c>
      <c r="V54" s="11" t="str">
        <f>IF($T54="حرجة",COUNTIF($T$4:$T54,"حرجة"),"")</f>
        <v/>
      </c>
    </row>
    <row r="55" spans="1:22" ht="40" customHeight="1" x14ac:dyDescent="0.3">
      <c r="A55" s="11">
        <v>52</v>
      </c>
      <c r="B55" s="10" t="s">
        <v>10</v>
      </c>
      <c r="C55" s="11" t="s">
        <v>384</v>
      </c>
      <c r="D55" s="12" t="s">
        <v>385</v>
      </c>
      <c r="E55" s="13" t="s">
        <v>386</v>
      </c>
      <c r="F55" s="10" t="s">
        <v>375</v>
      </c>
      <c r="G55" s="13" t="s">
        <v>387</v>
      </c>
      <c r="H55" s="14" t="s">
        <v>388</v>
      </c>
      <c r="I55" s="11" t="s">
        <v>85</v>
      </c>
      <c r="J55" s="11" t="s">
        <v>62</v>
      </c>
      <c r="K55" s="15">
        <f t="shared" si="5"/>
        <v>100</v>
      </c>
      <c r="L55" s="13" t="s">
        <v>160</v>
      </c>
      <c r="M55" s="11" t="s">
        <v>76</v>
      </c>
      <c r="N55" s="10" t="s">
        <v>102</v>
      </c>
      <c r="O55" s="13" t="s">
        <v>168</v>
      </c>
      <c r="P55" s="11" t="s">
        <v>69</v>
      </c>
      <c r="Q55" s="16">
        <v>46192</v>
      </c>
      <c r="R55" s="15" t="str">
        <f t="shared" si="6"/>
        <v>لا</v>
      </c>
      <c r="S55" s="17" t="str">
        <f t="shared" si="7"/>
        <v>—</v>
      </c>
      <c r="T55" s="15" t="str">
        <f t="shared" si="8"/>
        <v>—</v>
      </c>
      <c r="U55" s="11" t="str">
        <f t="shared" si="9"/>
        <v>ISO 10001:2018|الملحق C</v>
      </c>
      <c r="V55" s="11" t="str">
        <f>IF($T55="حرجة",COUNTIF($T$4:$T55,"حرجة"),"")</f>
        <v/>
      </c>
    </row>
    <row r="56" spans="1:22" ht="40" customHeight="1" x14ac:dyDescent="0.3">
      <c r="A56" s="11">
        <v>53</v>
      </c>
      <c r="B56" s="10" t="s">
        <v>10</v>
      </c>
      <c r="C56" s="11" t="s">
        <v>389</v>
      </c>
      <c r="D56" s="12" t="s">
        <v>390</v>
      </c>
      <c r="E56" s="13" t="s">
        <v>391</v>
      </c>
      <c r="F56" s="10" t="s">
        <v>375</v>
      </c>
      <c r="G56" s="13" t="s">
        <v>392</v>
      </c>
      <c r="H56" s="14" t="s">
        <v>393</v>
      </c>
      <c r="I56" s="11" t="s">
        <v>85</v>
      </c>
      <c r="J56" s="11" t="s">
        <v>73</v>
      </c>
      <c r="K56" s="15">
        <f t="shared" si="5"/>
        <v>50</v>
      </c>
      <c r="L56" s="13" t="s">
        <v>200</v>
      </c>
      <c r="M56" s="11" t="s">
        <v>76</v>
      </c>
      <c r="N56" s="10" t="s">
        <v>94</v>
      </c>
      <c r="O56" s="13" t="s">
        <v>394</v>
      </c>
      <c r="P56" s="11" t="s">
        <v>79</v>
      </c>
      <c r="Q56" s="16">
        <v>46195</v>
      </c>
      <c r="R56" s="15" t="str">
        <f t="shared" si="6"/>
        <v>نعم</v>
      </c>
      <c r="S56" s="17" t="str">
        <f t="shared" si="7"/>
        <v>تحليل فجوة</v>
      </c>
      <c r="T56" s="15" t="str">
        <f t="shared" si="8"/>
        <v>منخفضة</v>
      </c>
      <c r="U56" s="11" t="str">
        <f t="shared" si="9"/>
        <v>ISO 10001:2018|الملحق D</v>
      </c>
      <c r="V56" s="11" t="str">
        <f>IF($T56="حرجة",COUNTIF($T$4:$T56,"حرجة"),"")</f>
        <v/>
      </c>
    </row>
    <row r="57" spans="1:22" ht="40" customHeight="1" x14ac:dyDescent="0.3">
      <c r="A57" s="11">
        <v>54</v>
      </c>
      <c r="B57" s="10" t="s">
        <v>10</v>
      </c>
      <c r="C57" s="11" t="s">
        <v>395</v>
      </c>
      <c r="D57" s="12" t="s">
        <v>396</v>
      </c>
      <c r="E57" s="13" t="s">
        <v>397</v>
      </c>
      <c r="F57" s="10" t="s">
        <v>375</v>
      </c>
      <c r="G57" s="13" t="s">
        <v>398</v>
      </c>
      <c r="H57" s="14" t="s">
        <v>399</v>
      </c>
      <c r="I57" s="11" t="s">
        <v>75</v>
      </c>
      <c r="J57" s="11" t="s">
        <v>73</v>
      </c>
      <c r="K57" s="15">
        <f t="shared" si="5"/>
        <v>50</v>
      </c>
      <c r="L57" s="13" t="s">
        <v>216</v>
      </c>
      <c r="M57" s="11" t="s">
        <v>95</v>
      </c>
      <c r="N57" s="10" t="s">
        <v>94</v>
      </c>
      <c r="O57" s="13" t="s">
        <v>217</v>
      </c>
      <c r="P57" s="11" t="s">
        <v>89</v>
      </c>
      <c r="Q57" s="16">
        <v>46198</v>
      </c>
      <c r="R57" s="15" t="str">
        <f t="shared" si="6"/>
        <v>نعم</v>
      </c>
      <c r="S57" s="17" t="str">
        <f t="shared" si="7"/>
        <v>تحليل فجوة</v>
      </c>
      <c r="T57" s="15" t="str">
        <f t="shared" si="8"/>
        <v>متوسطة</v>
      </c>
      <c r="U57" s="11" t="str">
        <f t="shared" si="9"/>
        <v>ISO 10001:2018|الملحق E</v>
      </c>
      <c r="V57" s="11" t="str">
        <f>IF($T57="حرجة",COUNTIF($T$4:$T57,"حرجة"),"")</f>
        <v/>
      </c>
    </row>
    <row r="58" spans="1:22" ht="40" customHeight="1" x14ac:dyDescent="0.3">
      <c r="A58" s="11">
        <v>55</v>
      </c>
      <c r="B58" s="10" t="s">
        <v>10</v>
      </c>
      <c r="C58" s="11" t="s">
        <v>400</v>
      </c>
      <c r="D58" s="12" t="s">
        <v>401</v>
      </c>
      <c r="E58" s="13" t="s">
        <v>402</v>
      </c>
      <c r="F58" s="10" t="s">
        <v>375</v>
      </c>
      <c r="G58" s="13" t="s">
        <v>403</v>
      </c>
      <c r="H58" s="14" t="s">
        <v>236</v>
      </c>
      <c r="I58" s="11" t="s">
        <v>85</v>
      </c>
      <c r="J58" s="11" t="s">
        <v>93</v>
      </c>
      <c r="K58" s="15" t="str">
        <f t="shared" si="5"/>
        <v/>
      </c>
      <c r="L58" s="13" t="s">
        <v>149</v>
      </c>
      <c r="M58" s="11" t="s">
        <v>66</v>
      </c>
      <c r="N58" s="10" t="s">
        <v>108</v>
      </c>
      <c r="O58" s="13" t="s">
        <v>150</v>
      </c>
      <c r="P58" s="11" t="s">
        <v>98</v>
      </c>
      <c r="Q58" s="16">
        <v>46201</v>
      </c>
      <c r="R58" s="15" t="str">
        <f t="shared" si="6"/>
        <v>لا</v>
      </c>
      <c r="S58" s="17" t="str">
        <f t="shared" si="7"/>
        <v>—</v>
      </c>
      <c r="T58" s="15" t="str">
        <f t="shared" si="8"/>
        <v>—</v>
      </c>
      <c r="U58" s="11" t="str">
        <f t="shared" si="9"/>
        <v>ISO 10001:2018|الملحق F</v>
      </c>
      <c r="V58" s="11" t="str">
        <f>IF($T58="حرجة",COUNTIF($T$4:$T58,"حرجة"),"")</f>
        <v/>
      </c>
    </row>
    <row r="59" spans="1:22" ht="40" customHeight="1" x14ac:dyDescent="0.3">
      <c r="A59" s="11">
        <v>56</v>
      </c>
      <c r="B59" s="10" t="s">
        <v>10</v>
      </c>
      <c r="C59" s="11" t="s">
        <v>404</v>
      </c>
      <c r="D59" s="12" t="s">
        <v>405</v>
      </c>
      <c r="E59" s="13" t="s">
        <v>406</v>
      </c>
      <c r="F59" s="10" t="s">
        <v>375</v>
      </c>
      <c r="G59" s="13" t="s">
        <v>407</v>
      </c>
      <c r="H59" s="14" t="s">
        <v>388</v>
      </c>
      <c r="I59" s="11" t="s">
        <v>85</v>
      </c>
      <c r="J59" s="11" t="s">
        <v>73</v>
      </c>
      <c r="K59" s="15">
        <f t="shared" si="5"/>
        <v>50</v>
      </c>
      <c r="L59" s="13" t="s">
        <v>216</v>
      </c>
      <c r="M59" s="11" t="s">
        <v>66</v>
      </c>
      <c r="N59" s="10" t="s">
        <v>63</v>
      </c>
      <c r="O59" s="13" t="s">
        <v>217</v>
      </c>
      <c r="P59" s="11" t="s">
        <v>69</v>
      </c>
      <c r="Q59" s="16">
        <v>46204</v>
      </c>
      <c r="R59" s="15" t="str">
        <f t="shared" si="6"/>
        <v>نعم</v>
      </c>
      <c r="S59" s="17" t="str">
        <f t="shared" si="7"/>
        <v>تحليل فجوة</v>
      </c>
      <c r="T59" s="15" t="str">
        <f t="shared" si="8"/>
        <v>منخفضة</v>
      </c>
      <c r="U59" s="11" t="str">
        <f t="shared" si="9"/>
        <v>ISO 10001:2018|الملحق G</v>
      </c>
      <c r="V59" s="11" t="str">
        <f>IF($T59="حرجة",COUNTIF($T$4:$T59,"حرجة"),"")</f>
        <v/>
      </c>
    </row>
    <row r="60" spans="1:22" ht="40" customHeight="1" x14ac:dyDescent="0.3">
      <c r="A60" s="11">
        <v>57</v>
      </c>
      <c r="B60" s="10" t="s">
        <v>10</v>
      </c>
      <c r="C60" s="11" t="s">
        <v>408</v>
      </c>
      <c r="D60" s="12" t="s">
        <v>409</v>
      </c>
      <c r="E60" s="13" t="s">
        <v>410</v>
      </c>
      <c r="F60" s="10" t="s">
        <v>375</v>
      </c>
      <c r="G60" s="13" t="s">
        <v>411</v>
      </c>
      <c r="H60" s="14" t="s">
        <v>412</v>
      </c>
      <c r="I60" s="11" t="s">
        <v>85</v>
      </c>
      <c r="J60" s="11" t="s">
        <v>83</v>
      </c>
      <c r="K60" s="15">
        <f t="shared" si="5"/>
        <v>0</v>
      </c>
      <c r="L60" s="13" t="s">
        <v>263</v>
      </c>
      <c r="M60" s="11" t="s">
        <v>109</v>
      </c>
      <c r="N60" s="10" t="s">
        <v>74</v>
      </c>
      <c r="O60" s="13" t="s">
        <v>281</v>
      </c>
      <c r="P60" s="11" t="s">
        <v>79</v>
      </c>
      <c r="Q60" s="16">
        <v>46207</v>
      </c>
      <c r="R60" s="15" t="str">
        <f t="shared" si="6"/>
        <v>نعم</v>
      </c>
      <c r="S60" s="17" t="str">
        <f t="shared" si="7"/>
        <v>تحليل فجوة + تدقيق</v>
      </c>
      <c r="T60" s="15" t="str">
        <f t="shared" si="8"/>
        <v>حرجة</v>
      </c>
      <c r="U60" s="11" t="str">
        <f t="shared" si="9"/>
        <v>ISO 10001:2018|الملحق H</v>
      </c>
      <c r="V60" s="11">
        <f>IF($T60="حرجة",COUNTIF($T$4:$T60,"حرجة"),"")</f>
        <v>5</v>
      </c>
    </row>
    <row r="61" spans="1:22" ht="40" customHeight="1" x14ac:dyDescent="0.3">
      <c r="A61" s="11">
        <v>58</v>
      </c>
      <c r="B61" s="10" t="s">
        <v>10</v>
      </c>
      <c r="C61" s="11" t="s">
        <v>413</v>
      </c>
      <c r="D61" s="12" t="s">
        <v>414</v>
      </c>
      <c r="E61" s="13" t="s">
        <v>415</v>
      </c>
      <c r="F61" s="10" t="s">
        <v>375</v>
      </c>
      <c r="G61" s="13" t="s">
        <v>416</v>
      </c>
      <c r="H61" s="14" t="s">
        <v>417</v>
      </c>
      <c r="I61" s="11" t="s">
        <v>85</v>
      </c>
      <c r="J61" s="11" t="s">
        <v>73</v>
      </c>
      <c r="K61" s="15">
        <f t="shared" si="5"/>
        <v>50</v>
      </c>
      <c r="L61" s="13" t="s">
        <v>200</v>
      </c>
      <c r="M61" s="11" t="s">
        <v>95</v>
      </c>
      <c r="N61" s="10" t="s">
        <v>84</v>
      </c>
      <c r="O61" s="13" t="s">
        <v>176</v>
      </c>
      <c r="P61" s="11" t="s">
        <v>89</v>
      </c>
      <c r="Q61" s="16">
        <v>46210</v>
      </c>
      <c r="R61" s="15" t="str">
        <f t="shared" si="6"/>
        <v>نعم</v>
      </c>
      <c r="S61" s="17" t="str">
        <f t="shared" si="7"/>
        <v>تحليل فجوة + تدقيق</v>
      </c>
      <c r="T61" s="15" t="str">
        <f t="shared" si="8"/>
        <v>عالية</v>
      </c>
      <c r="U61" s="11" t="str">
        <f t="shared" si="9"/>
        <v>ISO 10001:2018|الملحق I</v>
      </c>
      <c r="V61" s="11" t="str">
        <f>IF($T61="حرجة",COUNTIF($T$4:$T61,"حرجة"),"")</f>
        <v/>
      </c>
    </row>
    <row r="62" spans="1:22" ht="40" customHeight="1" x14ac:dyDescent="0.3">
      <c r="A62" s="11">
        <v>59</v>
      </c>
      <c r="B62" s="10" t="s">
        <v>12</v>
      </c>
      <c r="C62" s="11" t="s">
        <v>144</v>
      </c>
      <c r="D62" s="12" t="s">
        <v>145</v>
      </c>
      <c r="E62" s="13" t="s">
        <v>146</v>
      </c>
      <c r="F62" s="10" t="s">
        <v>147</v>
      </c>
      <c r="G62" s="13" t="s">
        <v>148</v>
      </c>
      <c r="H62" s="14" t="s">
        <v>418</v>
      </c>
      <c r="I62" s="11" t="s">
        <v>75</v>
      </c>
      <c r="J62" s="11" t="s">
        <v>93</v>
      </c>
      <c r="K62" s="15" t="str">
        <f t="shared" si="5"/>
        <v/>
      </c>
      <c r="L62" s="13" t="s">
        <v>149</v>
      </c>
      <c r="M62" s="11" t="s">
        <v>66</v>
      </c>
      <c r="N62" s="10" t="s">
        <v>108</v>
      </c>
      <c r="O62" s="13" t="s">
        <v>150</v>
      </c>
      <c r="P62" s="11" t="s">
        <v>98</v>
      </c>
      <c r="Q62" s="16">
        <v>46213</v>
      </c>
      <c r="R62" s="15" t="str">
        <f t="shared" si="6"/>
        <v>لا</v>
      </c>
      <c r="S62" s="17" t="str">
        <f t="shared" si="7"/>
        <v>—</v>
      </c>
      <c r="T62" s="15" t="str">
        <f t="shared" si="8"/>
        <v>—</v>
      </c>
      <c r="U62" s="11" t="str">
        <f t="shared" si="9"/>
        <v>ISO 10002:2018|1</v>
      </c>
      <c r="V62" s="11" t="str">
        <f>IF($T62="حرجة",COUNTIF($T$4:$T62,"حرجة"),"")</f>
        <v/>
      </c>
    </row>
    <row r="63" spans="1:22" ht="40" customHeight="1" x14ac:dyDescent="0.3">
      <c r="A63" s="11">
        <v>60</v>
      </c>
      <c r="B63" s="10" t="s">
        <v>12</v>
      </c>
      <c r="C63" s="11" t="s">
        <v>151</v>
      </c>
      <c r="D63" s="12" t="s">
        <v>152</v>
      </c>
      <c r="E63" s="13" t="s">
        <v>153</v>
      </c>
      <c r="F63" s="10" t="s">
        <v>147</v>
      </c>
      <c r="G63" s="13" t="s">
        <v>148</v>
      </c>
      <c r="H63" s="14" t="s">
        <v>418</v>
      </c>
      <c r="I63" s="11" t="s">
        <v>64</v>
      </c>
      <c r="J63" s="11" t="s">
        <v>93</v>
      </c>
      <c r="K63" s="15" t="str">
        <f t="shared" si="5"/>
        <v/>
      </c>
      <c r="L63" s="13" t="s">
        <v>149</v>
      </c>
      <c r="M63" s="11" t="s">
        <v>66</v>
      </c>
      <c r="N63" s="10" t="s">
        <v>108</v>
      </c>
      <c r="O63" s="13" t="s">
        <v>150</v>
      </c>
      <c r="P63" s="11" t="s">
        <v>69</v>
      </c>
      <c r="Q63" s="16">
        <v>46216</v>
      </c>
      <c r="R63" s="15" t="str">
        <f t="shared" si="6"/>
        <v>لا</v>
      </c>
      <c r="S63" s="17" t="str">
        <f t="shared" si="7"/>
        <v>—</v>
      </c>
      <c r="T63" s="15" t="str">
        <f t="shared" si="8"/>
        <v>—</v>
      </c>
      <c r="U63" s="11" t="str">
        <f t="shared" si="9"/>
        <v>ISO 10002:2018|2</v>
      </c>
      <c r="V63" s="11" t="str">
        <f>IF($T63="حرجة",COUNTIF($T$4:$T63,"حرجة"),"")</f>
        <v/>
      </c>
    </row>
    <row r="64" spans="1:22" ht="40" customHeight="1" x14ac:dyDescent="0.3">
      <c r="A64" s="11">
        <v>61</v>
      </c>
      <c r="B64" s="10" t="s">
        <v>12</v>
      </c>
      <c r="C64" s="11" t="s">
        <v>154</v>
      </c>
      <c r="D64" s="12" t="s">
        <v>155</v>
      </c>
      <c r="E64" s="13" t="s">
        <v>156</v>
      </c>
      <c r="F64" s="10" t="s">
        <v>157</v>
      </c>
      <c r="G64" s="13" t="s">
        <v>158</v>
      </c>
      <c r="H64" s="14" t="s">
        <v>159</v>
      </c>
      <c r="I64" s="11" t="s">
        <v>85</v>
      </c>
      <c r="J64" s="11" t="s">
        <v>62</v>
      </c>
      <c r="K64" s="15">
        <f t="shared" si="5"/>
        <v>100</v>
      </c>
      <c r="L64" s="13" t="s">
        <v>160</v>
      </c>
      <c r="M64" s="11" t="s">
        <v>103</v>
      </c>
      <c r="N64" s="10" t="s">
        <v>63</v>
      </c>
      <c r="O64" s="13" t="s">
        <v>161</v>
      </c>
      <c r="P64" s="11" t="s">
        <v>79</v>
      </c>
      <c r="Q64" s="16">
        <v>46219</v>
      </c>
      <c r="R64" s="15" t="str">
        <f t="shared" si="6"/>
        <v>لا</v>
      </c>
      <c r="S64" s="17" t="str">
        <f t="shared" si="7"/>
        <v>—</v>
      </c>
      <c r="T64" s="15" t="str">
        <f t="shared" si="8"/>
        <v>—</v>
      </c>
      <c r="U64" s="11" t="str">
        <f t="shared" si="9"/>
        <v>ISO 10002:2018|3</v>
      </c>
      <c r="V64" s="11" t="str">
        <f>IF($T64="حرجة",COUNTIF($T$4:$T64,"حرجة"),"")</f>
        <v/>
      </c>
    </row>
    <row r="65" spans="1:22" ht="40" customHeight="1" x14ac:dyDescent="0.3">
      <c r="A65" s="11">
        <v>62</v>
      </c>
      <c r="B65" s="10" t="s">
        <v>12</v>
      </c>
      <c r="C65" s="11" t="s">
        <v>237</v>
      </c>
      <c r="D65" s="12" t="s">
        <v>238</v>
      </c>
      <c r="E65" s="13" t="s">
        <v>239</v>
      </c>
      <c r="F65" s="10" t="s">
        <v>180</v>
      </c>
      <c r="G65" s="13" t="s">
        <v>240</v>
      </c>
      <c r="H65" s="14" t="s">
        <v>174</v>
      </c>
      <c r="I65" s="11" t="s">
        <v>64</v>
      </c>
      <c r="J65" s="11" t="s">
        <v>83</v>
      </c>
      <c r="K65" s="15">
        <f t="shared" si="5"/>
        <v>0</v>
      </c>
      <c r="L65" s="13" t="s">
        <v>419</v>
      </c>
      <c r="M65" s="11" t="s">
        <v>109</v>
      </c>
      <c r="N65" s="10" t="s">
        <v>94</v>
      </c>
      <c r="O65" s="13" t="s">
        <v>190</v>
      </c>
      <c r="P65" s="11" t="s">
        <v>89</v>
      </c>
      <c r="Q65" s="16">
        <v>46176</v>
      </c>
      <c r="R65" s="15" t="str">
        <f t="shared" si="6"/>
        <v>نعم</v>
      </c>
      <c r="S65" s="17" t="str">
        <f t="shared" si="7"/>
        <v>تحليل فجوة</v>
      </c>
      <c r="T65" s="15" t="str">
        <f t="shared" si="8"/>
        <v>حرجة</v>
      </c>
      <c r="U65" s="11" t="str">
        <f t="shared" si="9"/>
        <v>ISO 10002:2018|4.1</v>
      </c>
      <c r="V65" s="11">
        <f>IF($T65="حرجة",COUNTIF($T$4:$T65,"حرجة"),"")</f>
        <v>6</v>
      </c>
    </row>
    <row r="66" spans="1:22" ht="40" customHeight="1" x14ac:dyDescent="0.3">
      <c r="A66" s="11">
        <v>63</v>
      </c>
      <c r="B66" s="10" t="s">
        <v>12</v>
      </c>
      <c r="C66" s="11" t="s">
        <v>242</v>
      </c>
      <c r="D66" s="12" t="s">
        <v>243</v>
      </c>
      <c r="E66" s="13" t="s">
        <v>244</v>
      </c>
      <c r="F66" s="10" t="s">
        <v>172</v>
      </c>
      <c r="G66" s="13" t="s">
        <v>245</v>
      </c>
      <c r="H66" s="14" t="s">
        <v>174</v>
      </c>
      <c r="I66" s="11" t="s">
        <v>85</v>
      </c>
      <c r="J66" s="11" t="s">
        <v>83</v>
      </c>
      <c r="K66" s="15">
        <f t="shared" si="5"/>
        <v>0</v>
      </c>
      <c r="L66" s="13" t="s">
        <v>383</v>
      </c>
      <c r="M66" s="11" t="s">
        <v>109</v>
      </c>
      <c r="N66" s="10" t="s">
        <v>94</v>
      </c>
      <c r="O66" s="13" t="s">
        <v>190</v>
      </c>
      <c r="P66" s="11" t="s">
        <v>98</v>
      </c>
      <c r="Q66" s="16">
        <v>46179</v>
      </c>
      <c r="R66" s="15" t="str">
        <f t="shared" si="6"/>
        <v>نعم</v>
      </c>
      <c r="S66" s="17" t="str">
        <f t="shared" si="7"/>
        <v>تحليل فجوة</v>
      </c>
      <c r="T66" s="15" t="str">
        <f t="shared" si="8"/>
        <v>منخفضة</v>
      </c>
      <c r="U66" s="11" t="str">
        <f t="shared" si="9"/>
        <v>ISO 10002:2018|4.2</v>
      </c>
      <c r="V66" s="11" t="str">
        <f>IF($T66="حرجة",COUNTIF($T$4:$T66,"حرجة"),"")</f>
        <v/>
      </c>
    </row>
    <row r="67" spans="1:22" ht="40" customHeight="1" x14ac:dyDescent="0.3">
      <c r="A67" s="11">
        <v>64</v>
      </c>
      <c r="B67" s="10" t="s">
        <v>12</v>
      </c>
      <c r="C67" s="11" t="s">
        <v>246</v>
      </c>
      <c r="D67" s="12" t="s">
        <v>247</v>
      </c>
      <c r="E67" s="13" t="s">
        <v>248</v>
      </c>
      <c r="F67" s="10" t="s">
        <v>172</v>
      </c>
      <c r="G67" s="13" t="s">
        <v>249</v>
      </c>
      <c r="H67" s="14" t="s">
        <v>174</v>
      </c>
      <c r="I67" s="11" t="s">
        <v>75</v>
      </c>
      <c r="J67" s="11" t="s">
        <v>73</v>
      </c>
      <c r="K67" s="15">
        <f t="shared" si="5"/>
        <v>50</v>
      </c>
      <c r="L67" s="13" t="s">
        <v>200</v>
      </c>
      <c r="M67" s="11" t="s">
        <v>76</v>
      </c>
      <c r="N67" s="10" t="s">
        <v>94</v>
      </c>
      <c r="O67" s="13" t="s">
        <v>143</v>
      </c>
      <c r="P67" s="11" t="s">
        <v>69</v>
      </c>
      <c r="Q67" s="16">
        <v>46182</v>
      </c>
      <c r="R67" s="15" t="str">
        <f t="shared" si="6"/>
        <v>نعم</v>
      </c>
      <c r="S67" s="17" t="str">
        <f t="shared" si="7"/>
        <v>تحليل فجوة</v>
      </c>
      <c r="T67" s="15" t="str">
        <f t="shared" si="8"/>
        <v>متوسطة</v>
      </c>
      <c r="U67" s="11" t="str">
        <f t="shared" si="9"/>
        <v>ISO 10002:2018|4.3</v>
      </c>
      <c r="V67" s="11" t="str">
        <f>IF($T67="حرجة",COUNTIF($T$4:$T67,"حرجة"),"")</f>
        <v/>
      </c>
    </row>
    <row r="68" spans="1:22" ht="40" customHeight="1" x14ac:dyDescent="0.3">
      <c r="A68" s="11">
        <v>65</v>
      </c>
      <c r="B68" s="10" t="s">
        <v>12</v>
      </c>
      <c r="C68" s="11" t="s">
        <v>250</v>
      </c>
      <c r="D68" s="12" t="s">
        <v>251</v>
      </c>
      <c r="E68" s="13" t="s">
        <v>252</v>
      </c>
      <c r="F68" s="10" t="s">
        <v>172</v>
      </c>
      <c r="G68" s="13" t="s">
        <v>253</v>
      </c>
      <c r="H68" s="14" t="s">
        <v>174</v>
      </c>
      <c r="I68" s="11" t="s">
        <v>64</v>
      </c>
      <c r="J68" s="11" t="s">
        <v>62</v>
      </c>
      <c r="K68" s="15">
        <f t="shared" ref="K68:K99" si="10">IF($J68="مطبق كلياً",100,IF($J68="مطبق جزئياً",50,IF($J68="غير مطبق",0,"")))</f>
        <v>100</v>
      </c>
      <c r="L68" s="13" t="s">
        <v>160</v>
      </c>
      <c r="M68" s="11" t="s">
        <v>76</v>
      </c>
      <c r="N68" s="10" t="s">
        <v>63</v>
      </c>
      <c r="O68" s="13" t="s">
        <v>161</v>
      </c>
      <c r="P68" s="11" t="s">
        <v>79</v>
      </c>
      <c r="Q68" s="16">
        <v>46185</v>
      </c>
      <c r="R68" s="15" t="str">
        <f t="shared" ref="R68:R99" si="11">IF(OR($J68="غير مطبق",$J68="مطبق جزئياً",$N68="عدم مطابقة كبرى",$N68="عدم مطابقة صغرى"),"نعم","لا")</f>
        <v>لا</v>
      </c>
      <c r="S68" s="17" t="str">
        <f t="shared" ref="S68:S99" si="12">IF($R68="لا","—",IF(AND(OR($J68="غير مطبق",$J68="مطبق جزئياً"),OR($N68="عدم مطابقة كبرى",$N68="عدم مطابقة صغرى")),"تحليل فجوة + تدقيق",IF(OR($J68="غير مطبق",$J68="مطبق جزئياً"),"تحليل فجوة","تدقيق داخلي")))</f>
        <v>—</v>
      </c>
      <c r="T68" s="15" t="str">
        <f t="shared" ref="T68:T99" si="13">IF($R68="لا","—",IF(OR($N68="عدم مطابقة كبرى",AND($I68="عالية",$J68="غير مطبق")),"حرجة",IF(OR(AND($I68="عالية",$J68="مطبق جزئياً"),AND($I68="متوسطة",$J68="غير مطبق"),$N68="عدم مطابقة صغرى"),"عالية",IF($I68="منخفضة","منخفضة","متوسطة"))))</f>
        <v>—</v>
      </c>
      <c r="U68" s="11" t="str">
        <f t="shared" ref="U68:U99" si="14">$B68&amp;"|"&amp;$C68</f>
        <v>ISO 10002:2018|4.4</v>
      </c>
      <c r="V68" s="11" t="str">
        <f>IF($T68="حرجة",COUNTIF($T$4:$T68,"حرجة"),"")</f>
        <v/>
      </c>
    </row>
    <row r="69" spans="1:22" ht="40" customHeight="1" x14ac:dyDescent="0.3">
      <c r="A69" s="11">
        <v>66</v>
      </c>
      <c r="B69" s="10" t="s">
        <v>12</v>
      </c>
      <c r="C69" s="11" t="s">
        <v>255</v>
      </c>
      <c r="D69" s="12" t="s">
        <v>256</v>
      </c>
      <c r="E69" s="13" t="s">
        <v>257</v>
      </c>
      <c r="F69" s="10" t="s">
        <v>172</v>
      </c>
      <c r="G69" s="13" t="s">
        <v>258</v>
      </c>
      <c r="H69" s="14" t="s">
        <v>174</v>
      </c>
      <c r="I69" s="11" t="s">
        <v>64</v>
      </c>
      <c r="J69" s="11" t="s">
        <v>83</v>
      </c>
      <c r="K69" s="15">
        <f t="shared" si="10"/>
        <v>0</v>
      </c>
      <c r="L69" s="13" t="s">
        <v>189</v>
      </c>
      <c r="M69" s="11" t="s">
        <v>109</v>
      </c>
      <c r="N69" s="10" t="s">
        <v>74</v>
      </c>
      <c r="O69" s="13" t="s">
        <v>420</v>
      </c>
      <c r="P69" s="11" t="s">
        <v>89</v>
      </c>
      <c r="Q69" s="16">
        <v>46188</v>
      </c>
      <c r="R69" s="15" t="str">
        <f t="shared" si="11"/>
        <v>نعم</v>
      </c>
      <c r="S69" s="17" t="str">
        <f t="shared" si="12"/>
        <v>تحليل فجوة + تدقيق</v>
      </c>
      <c r="T69" s="15" t="str">
        <f t="shared" si="13"/>
        <v>حرجة</v>
      </c>
      <c r="U69" s="11" t="str">
        <f t="shared" si="14"/>
        <v>ISO 10002:2018|4.5</v>
      </c>
      <c r="V69" s="11">
        <f>IF($T69="حرجة",COUNTIF($T$4:$T69,"حرجة"),"")</f>
        <v>7</v>
      </c>
    </row>
    <row r="70" spans="1:22" ht="40" customHeight="1" x14ac:dyDescent="0.3">
      <c r="A70" s="11">
        <v>67</v>
      </c>
      <c r="B70" s="10" t="s">
        <v>12</v>
      </c>
      <c r="C70" s="11" t="s">
        <v>259</v>
      </c>
      <c r="D70" s="12" t="s">
        <v>260</v>
      </c>
      <c r="E70" s="13" t="s">
        <v>261</v>
      </c>
      <c r="F70" s="10" t="s">
        <v>172</v>
      </c>
      <c r="G70" s="13" t="s">
        <v>262</v>
      </c>
      <c r="H70" s="14" t="s">
        <v>174</v>
      </c>
      <c r="I70" s="11" t="s">
        <v>75</v>
      </c>
      <c r="J70" s="11" t="s">
        <v>62</v>
      </c>
      <c r="K70" s="15">
        <f t="shared" si="10"/>
        <v>100</v>
      </c>
      <c r="L70" s="13" t="s">
        <v>160</v>
      </c>
      <c r="M70" s="11" t="s">
        <v>103</v>
      </c>
      <c r="N70" s="10" t="s">
        <v>94</v>
      </c>
      <c r="O70" s="13" t="s">
        <v>290</v>
      </c>
      <c r="P70" s="11" t="s">
        <v>98</v>
      </c>
      <c r="Q70" s="16">
        <v>46191</v>
      </c>
      <c r="R70" s="15" t="str">
        <f t="shared" si="11"/>
        <v>لا</v>
      </c>
      <c r="S70" s="17" t="str">
        <f t="shared" si="12"/>
        <v>—</v>
      </c>
      <c r="T70" s="15" t="str">
        <f t="shared" si="13"/>
        <v>—</v>
      </c>
      <c r="U70" s="11" t="str">
        <f t="shared" si="14"/>
        <v>ISO 10002:2018|4.6</v>
      </c>
      <c r="V70" s="11" t="str">
        <f>IF($T70="حرجة",COUNTIF($T$4:$T70,"حرجة"),"")</f>
        <v/>
      </c>
    </row>
    <row r="71" spans="1:22" ht="40" customHeight="1" x14ac:dyDescent="0.3">
      <c r="A71" s="11">
        <v>68</v>
      </c>
      <c r="B71" s="10" t="s">
        <v>12</v>
      </c>
      <c r="C71" s="11" t="s">
        <v>264</v>
      </c>
      <c r="D71" s="12" t="s">
        <v>421</v>
      </c>
      <c r="E71" s="13" t="s">
        <v>422</v>
      </c>
      <c r="F71" s="10" t="s">
        <v>172</v>
      </c>
      <c r="G71" s="13" t="s">
        <v>423</v>
      </c>
      <c r="H71" s="14" t="s">
        <v>174</v>
      </c>
      <c r="I71" s="11" t="s">
        <v>64</v>
      </c>
      <c r="J71" s="11" t="s">
        <v>62</v>
      </c>
      <c r="K71" s="15">
        <f t="shared" si="10"/>
        <v>100</v>
      </c>
      <c r="L71" s="13" t="s">
        <v>167</v>
      </c>
      <c r="M71" s="11" t="s">
        <v>76</v>
      </c>
      <c r="N71" s="10" t="s">
        <v>94</v>
      </c>
      <c r="O71" s="13" t="s">
        <v>290</v>
      </c>
      <c r="P71" s="11" t="s">
        <v>69</v>
      </c>
      <c r="Q71" s="16">
        <v>46194</v>
      </c>
      <c r="R71" s="15" t="str">
        <f t="shared" si="11"/>
        <v>لا</v>
      </c>
      <c r="S71" s="17" t="str">
        <f t="shared" si="12"/>
        <v>—</v>
      </c>
      <c r="T71" s="15" t="str">
        <f t="shared" si="13"/>
        <v>—</v>
      </c>
      <c r="U71" s="11" t="str">
        <f t="shared" si="14"/>
        <v>ISO 10002:2018|4.7</v>
      </c>
      <c r="V71" s="11" t="str">
        <f>IF($T71="حرجة",COUNTIF($T$4:$T71,"حرجة"),"")</f>
        <v/>
      </c>
    </row>
    <row r="72" spans="1:22" ht="40" customHeight="1" x14ac:dyDescent="0.3">
      <c r="A72" s="11">
        <v>69</v>
      </c>
      <c r="B72" s="10" t="s">
        <v>12</v>
      </c>
      <c r="C72" s="11" t="s">
        <v>268</v>
      </c>
      <c r="D72" s="12" t="s">
        <v>424</v>
      </c>
      <c r="E72" s="13" t="s">
        <v>425</v>
      </c>
      <c r="F72" s="10" t="s">
        <v>172</v>
      </c>
      <c r="G72" s="13" t="s">
        <v>426</v>
      </c>
      <c r="H72" s="14" t="s">
        <v>174</v>
      </c>
      <c r="I72" s="11" t="s">
        <v>75</v>
      </c>
      <c r="J72" s="11" t="s">
        <v>73</v>
      </c>
      <c r="K72" s="15">
        <f t="shared" si="10"/>
        <v>50</v>
      </c>
      <c r="L72" s="13" t="s">
        <v>216</v>
      </c>
      <c r="M72" s="11" t="s">
        <v>76</v>
      </c>
      <c r="N72" s="10" t="s">
        <v>63</v>
      </c>
      <c r="O72" s="13" t="s">
        <v>143</v>
      </c>
      <c r="P72" s="11" t="s">
        <v>79</v>
      </c>
      <c r="Q72" s="16">
        <v>46197</v>
      </c>
      <c r="R72" s="15" t="str">
        <f t="shared" si="11"/>
        <v>نعم</v>
      </c>
      <c r="S72" s="17" t="str">
        <f t="shared" si="12"/>
        <v>تحليل فجوة</v>
      </c>
      <c r="T72" s="15" t="str">
        <f t="shared" si="13"/>
        <v>متوسطة</v>
      </c>
      <c r="U72" s="11" t="str">
        <f t="shared" si="14"/>
        <v>ISO 10002:2018|4.8</v>
      </c>
      <c r="V72" s="11" t="str">
        <f>IF($T72="حرجة",COUNTIF($T$4:$T72,"حرجة"),"")</f>
        <v/>
      </c>
    </row>
    <row r="73" spans="1:22" ht="40" customHeight="1" x14ac:dyDescent="0.3">
      <c r="A73" s="11">
        <v>70</v>
      </c>
      <c r="B73" s="10" t="s">
        <v>12</v>
      </c>
      <c r="C73" s="11" t="s">
        <v>272</v>
      </c>
      <c r="D73" s="12" t="s">
        <v>265</v>
      </c>
      <c r="E73" s="13" t="s">
        <v>266</v>
      </c>
      <c r="F73" s="10" t="s">
        <v>172</v>
      </c>
      <c r="G73" s="13" t="s">
        <v>267</v>
      </c>
      <c r="H73" s="14" t="s">
        <v>174</v>
      </c>
      <c r="I73" s="11" t="s">
        <v>75</v>
      </c>
      <c r="J73" s="11" t="s">
        <v>83</v>
      </c>
      <c r="K73" s="15">
        <f t="shared" si="10"/>
        <v>0</v>
      </c>
      <c r="L73" s="13" t="s">
        <v>280</v>
      </c>
      <c r="M73" s="11" t="s">
        <v>109</v>
      </c>
      <c r="N73" s="10" t="s">
        <v>74</v>
      </c>
      <c r="O73" s="13" t="s">
        <v>210</v>
      </c>
      <c r="P73" s="11" t="s">
        <v>89</v>
      </c>
      <c r="Q73" s="16">
        <v>46200</v>
      </c>
      <c r="R73" s="15" t="str">
        <f t="shared" si="11"/>
        <v>نعم</v>
      </c>
      <c r="S73" s="17" t="str">
        <f t="shared" si="12"/>
        <v>تحليل فجوة + تدقيق</v>
      </c>
      <c r="T73" s="15" t="str">
        <f t="shared" si="13"/>
        <v>حرجة</v>
      </c>
      <c r="U73" s="11" t="str">
        <f t="shared" si="14"/>
        <v>ISO 10002:2018|4.9</v>
      </c>
      <c r="V73" s="11">
        <f>IF($T73="حرجة",COUNTIF($T$4:$T73,"حرجة"),"")</f>
        <v>8</v>
      </c>
    </row>
    <row r="74" spans="1:22" ht="40" customHeight="1" x14ac:dyDescent="0.3">
      <c r="A74" s="11">
        <v>71</v>
      </c>
      <c r="B74" s="10" t="s">
        <v>12</v>
      </c>
      <c r="C74" s="11" t="s">
        <v>276</v>
      </c>
      <c r="D74" s="12" t="s">
        <v>277</v>
      </c>
      <c r="E74" s="13" t="s">
        <v>278</v>
      </c>
      <c r="F74" s="10" t="s">
        <v>172</v>
      </c>
      <c r="G74" s="13" t="s">
        <v>279</v>
      </c>
      <c r="H74" s="14" t="s">
        <v>174</v>
      </c>
      <c r="I74" s="11" t="s">
        <v>64</v>
      </c>
      <c r="J74" s="11" t="s">
        <v>73</v>
      </c>
      <c r="K74" s="15">
        <f t="shared" si="10"/>
        <v>50</v>
      </c>
      <c r="L74" s="13" t="s">
        <v>200</v>
      </c>
      <c r="M74" s="11" t="s">
        <v>76</v>
      </c>
      <c r="N74" s="10" t="s">
        <v>102</v>
      </c>
      <c r="O74" s="13" t="s">
        <v>229</v>
      </c>
      <c r="P74" s="11" t="s">
        <v>98</v>
      </c>
      <c r="Q74" s="16">
        <v>46203</v>
      </c>
      <c r="R74" s="15" t="str">
        <f t="shared" si="11"/>
        <v>نعم</v>
      </c>
      <c r="S74" s="17" t="str">
        <f t="shared" si="12"/>
        <v>تحليل فجوة</v>
      </c>
      <c r="T74" s="15" t="str">
        <f t="shared" si="13"/>
        <v>عالية</v>
      </c>
      <c r="U74" s="11" t="str">
        <f t="shared" si="14"/>
        <v>ISO 10002:2018|4.10</v>
      </c>
      <c r="V74" s="11" t="str">
        <f>IF($T74="حرجة",COUNTIF($T$4:$T74,"حرجة"),"")</f>
        <v/>
      </c>
    </row>
    <row r="75" spans="1:22" ht="40" customHeight="1" x14ac:dyDescent="0.3">
      <c r="A75" s="11">
        <v>72</v>
      </c>
      <c r="B75" s="10" t="s">
        <v>12</v>
      </c>
      <c r="C75" s="11" t="s">
        <v>282</v>
      </c>
      <c r="D75" s="12" t="s">
        <v>283</v>
      </c>
      <c r="E75" s="13" t="s">
        <v>284</v>
      </c>
      <c r="F75" s="10" t="s">
        <v>172</v>
      </c>
      <c r="G75" s="13" t="s">
        <v>285</v>
      </c>
      <c r="H75" s="14" t="s">
        <v>174</v>
      </c>
      <c r="I75" s="11" t="s">
        <v>75</v>
      </c>
      <c r="J75" s="11" t="s">
        <v>62</v>
      </c>
      <c r="K75" s="15">
        <f t="shared" si="10"/>
        <v>100</v>
      </c>
      <c r="L75" s="13" t="s">
        <v>182</v>
      </c>
      <c r="M75" s="11" t="s">
        <v>76</v>
      </c>
      <c r="N75" s="10" t="s">
        <v>63</v>
      </c>
      <c r="O75" s="13" t="s">
        <v>161</v>
      </c>
      <c r="P75" s="11" t="s">
        <v>69</v>
      </c>
      <c r="Q75" s="16">
        <v>46206</v>
      </c>
      <c r="R75" s="15" t="str">
        <f t="shared" si="11"/>
        <v>لا</v>
      </c>
      <c r="S75" s="17" t="str">
        <f t="shared" si="12"/>
        <v>—</v>
      </c>
      <c r="T75" s="15" t="str">
        <f t="shared" si="13"/>
        <v>—</v>
      </c>
      <c r="U75" s="11" t="str">
        <f t="shared" si="14"/>
        <v>ISO 10002:2018|4.11</v>
      </c>
      <c r="V75" s="11" t="str">
        <f>IF($T75="حرجة",COUNTIF($T$4:$T75,"حرجة"),"")</f>
        <v/>
      </c>
    </row>
    <row r="76" spans="1:22" ht="40" customHeight="1" x14ac:dyDescent="0.3">
      <c r="A76" s="11">
        <v>73</v>
      </c>
      <c r="B76" s="10" t="s">
        <v>12</v>
      </c>
      <c r="C76" s="11" t="s">
        <v>286</v>
      </c>
      <c r="D76" s="12" t="s">
        <v>269</v>
      </c>
      <c r="E76" s="13" t="s">
        <v>270</v>
      </c>
      <c r="F76" s="10" t="s">
        <v>172</v>
      </c>
      <c r="G76" s="13" t="s">
        <v>271</v>
      </c>
      <c r="H76" s="14" t="s">
        <v>174</v>
      </c>
      <c r="I76" s="11" t="s">
        <v>75</v>
      </c>
      <c r="J76" s="11" t="s">
        <v>73</v>
      </c>
      <c r="K76" s="15">
        <f t="shared" si="10"/>
        <v>50</v>
      </c>
      <c r="L76" s="13" t="s">
        <v>216</v>
      </c>
      <c r="M76" s="11" t="s">
        <v>86</v>
      </c>
      <c r="N76" s="10" t="s">
        <v>102</v>
      </c>
      <c r="O76" s="13" t="s">
        <v>143</v>
      </c>
      <c r="P76" s="11" t="s">
        <v>79</v>
      </c>
      <c r="Q76" s="16">
        <v>46209</v>
      </c>
      <c r="R76" s="15" t="str">
        <f t="shared" si="11"/>
        <v>نعم</v>
      </c>
      <c r="S76" s="17" t="str">
        <f t="shared" si="12"/>
        <v>تحليل فجوة</v>
      </c>
      <c r="T76" s="15" t="str">
        <f t="shared" si="13"/>
        <v>متوسطة</v>
      </c>
      <c r="U76" s="11" t="str">
        <f t="shared" si="14"/>
        <v>ISO 10002:2018|4.12</v>
      </c>
      <c r="V76" s="11" t="str">
        <f>IF($T76="حرجة",COUNTIF($T$4:$T76,"حرجة"),"")</f>
        <v/>
      </c>
    </row>
    <row r="77" spans="1:22" ht="40" customHeight="1" x14ac:dyDescent="0.3">
      <c r="A77" s="11">
        <v>74</v>
      </c>
      <c r="B77" s="10" t="s">
        <v>12</v>
      </c>
      <c r="C77" s="11" t="s">
        <v>291</v>
      </c>
      <c r="D77" s="12" t="s">
        <v>273</v>
      </c>
      <c r="E77" s="13" t="s">
        <v>274</v>
      </c>
      <c r="F77" s="10" t="s">
        <v>172</v>
      </c>
      <c r="G77" s="13" t="s">
        <v>275</v>
      </c>
      <c r="H77" s="14" t="s">
        <v>174</v>
      </c>
      <c r="I77" s="11" t="s">
        <v>75</v>
      </c>
      <c r="J77" s="11" t="s">
        <v>83</v>
      </c>
      <c r="K77" s="15">
        <f t="shared" si="10"/>
        <v>0</v>
      </c>
      <c r="L77" s="13" t="s">
        <v>419</v>
      </c>
      <c r="M77" s="11" t="s">
        <v>109</v>
      </c>
      <c r="N77" s="10" t="s">
        <v>74</v>
      </c>
      <c r="O77" s="13" t="s">
        <v>366</v>
      </c>
      <c r="P77" s="11" t="s">
        <v>89</v>
      </c>
      <c r="Q77" s="16">
        <v>46212</v>
      </c>
      <c r="R77" s="15" t="str">
        <f t="shared" si="11"/>
        <v>نعم</v>
      </c>
      <c r="S77" s="17" t="str">
        <f t="shared" si="12"/>
        <v>تحليل فجوة + تدقيق</v>
      </c>
      <c r="T77" s="15" t="str">
        <f t="shared" si="13"/>
        <v>حرجة</v>
      </c>
      <c r="U77" s="11" t="str">
        <f t="shared" si="14"/>
        <v>ISO 10002:2018|4.13</v>
      </c>
      <c r="V77" s="11">
        <f>IF($T77="حرجة",COUNTIF($T$4:$T77,"حرجة"),"")</f>
        <v>9</v>
      </c>
    </row>
    <row r="78" spans="1:22" ht="40" customHeight="1" x14ac:dyDescent="0.3">
      <c r="A78" s="11">
        <v>75</v>
      </c>
      <c r="B78" s="10" t="s">
        <v>12</v>
      </c>
      <c r="C78" s="11" t="s">
        <v>427</v>
      </c>
      <c r="D78" s="12" t="s">
        <v>287</v>
      </c>
      <c r="E78" s="13" t="s">
        <v>288</v>
      </c>
      <c r="F78" s="10" t="s">
        <v>172</v>
      </c>
      <c r="G78" s="13" t="s">
        <v>289</v>
      </c>
      <c r="H78" s="14" t="s">
        <v>174</v>
      </c>
      <c r="I78" s="11" t="s">
        <v>64</v>
      </c>
      <c r="J78" s="11" t="s">
        <v>73</v>
      </c>
      <c r="K78" s="15">
        <f t="shared" si="10"/>
        <v>50</v>
      </c>
      <c r="L78" s="13" t="s">
        <v>228</v>
      </c>
      <c r="M78" s="11" t="s">
        <v>95</v>
      </c>
      <c r="N78" s="10" t="s">
        <v>102</v>
      </c>
      <c r="O78" s="13" t="s">
        <v>229</v>
      </c>
      <c r="P78" s="11" t="s">
        <v>98</v>
      </c>
      <c r="Q78" s="16">
        <v>46215</v>
      </c>
      <c r="R78" s="15" t="str">
        <f t="shared" si="11"/>
        <v>نعم</v>
      </c>
      <c r="S78" s="17" t="str">
        <f t="shared" si="12"/>
        <v>تحليل فجوة</v>
      </c>
      <c r="T78" s="15" t="str">
        <f t="shared" si="13"/>
        <v>عالية</v>
      </c>
      <c r="U78" s="11" t="str">
        <f t="shared" si="14"/>
        <v>ISO 10002:2018|4.14</v>
      </c>
      <c r="V78" s="11" t="str">
        <f>IF($T78="حرجة",COUNTIF($T$4:$T78,"حرجة"),"")</f>
        <v/>
      </c>
    </row>
    <row r="79" spans="1:22" ht="40" customHeight="1" x14ac:dyDescent="0.3">
      <c r="A79" s="11">
        <v>76</v>
      </c>
      <c r="B79" s="10" t="s">
        <v>12</v>
      </c>
      <c r="C79" s="11" t="s">
        <v>428</v>
      </c>
      <c r="D79" s="12" t="s">
        <v>292</v>
      </c>
      <c r="E79" s="13" t="s">
        <v>293</v>
      </c>
      <c r="F79" s="10" t="s">
        <v>172</v>
      </c>
      <c r="G79" s="13" t="s">
        <v>294</v>
      </c>
      <c r="H79" s="14" t="s">
        <v>174</v>
      </c>
      <c r="I79" s="11" t="s">
        <v>75</v>
      </c>
      <c r="J79" s="11" t="s">
        <v>83</v>
      </c>
      <c r="K79" s="15">
        <f t="shared" si="10"/>
        <v>0</v>
      </c>
      <c r="L79" s="13" t="s">
        <v>280</v>
      </c>
      <c r="M79" s="11" t="s">
        <v>109</v>
      </c>
      <c r="N79" s="10" t="s">
        <v>84</v>
      </c>
      <c r="O79" s="13" t="s">
        <v>210</v>
      </c>
      <c r="P79" s="11" t="s">
        <v>69</v>
      </c>
      <c r="Q79" s="16">
        <v>46218</v>
      </c>
      <c r="R79" s="15" t="str">
        <f t="shared" si="11"/>
        <v>نعم</v>
      </c>
      <c r="S79" s="17" t="str">
        <f t="shared" si="12"/>
        <v>تحليل فجوة + تدقيق</v>
      </c>
      <c r="T79" s="15" t="str">
        <f t="shared" si="13"/>
        <v>عالية</v>
      </c>
      <c r="U79" s="11" t="str">
        <f t="shared" si="14"/>
        <v>ISO 10002:2018|4.15</v>
      </c>
      <c r="V79" s="11" t="str">
        <f>IF($T79="حرجة",COUNTIF($T$4:$T79,"حرجة"),"")</f>
        <v/>
      </c>
    </row>
    <row r="80" spans="1:22" ht="40" customHeight="1" x14ac:dyDescent="0.3">
      <c r="A80" s="11">
        <v>77</v>
      </c>
      <c r="B80" s="10" t="s">
        <v>12</v>
      </c>
      <c r="C80" s="11" t="s">
        <v>295</v>
      </c>
      <c r="D80" s="12" t="s">
        <v>296</v>
      </c>
      <c r="E80" s="13" t="s">
        <v>297</v>
      </c>
      <c r="F80" s="10" t="s">
        <v>180</v>
      </c>
      <c r="G80" s="13" t="s">
        <v>298</v>
      </c>
      <c r="H80" s="14" t="s">
        <v>299</v>
      </c>
      <c r="I80" s="11" t="s">
        <v>75</v>
      </c>
      <c r="J80" s="11" t="s">
        <v>62</v>
      </c>
      <c r="K80" s="15">
        <f t="shared" si="10"/>
        <v>100</v>
      </c>
      <c r="L80" s="13" t="s">
        <v>167</v>
      </c>
      <c r="M80" s="11" t="s">
        <v>66</v>
      </c>
      <c r="N80" s="10" t="s">
        <v>63</v>
      </c>
      <c r="O80" s="13" t="s">
        <v>161</v>
      </c>
      <c r="P80" s="11" t="s">
        <v>79</v>
      </c>
      <c r="Q80" s="16">
        <v>46175</v>
      </c>
      <c r="R80" s="15" t="str">
        <f t="shared" si="11"/>
        <v>لا</v>
      </c>
      <c r="S80" s="17" t="str">
        <f t="shared" si="12"/>
        <v>—</v>
      </c>
      <c r="T80" s="15" t="str">
        <f t="shared" si="13"/>
        <v>—</v>
      </c>
      <c r="U80" s="11" t="str">
        <f t="shared" si="14"/>
        <v>ISO 10002:2018|5.1</v>
      </c>
      <c r="V80" s="11" t="str">
        <f>IF($T80="حرجة",COUNTIF($T$4:$T80,"حرجة"),"")</f>
        <v/>
      </c>
    </row>
    <row r="81" spans="1:22" ht="40" customHeight="1" x14ac:dyDescent="0.3">
      <c r="A81" s="11">
        <v>78</v>
      </c>
      <c r="B81" s="10" t="s">
        <v>12</v>
      </c>
      <c r="C81" s="11" t="s">
        <v>300</v>
      </c>
      <c r="D81" s="12" t="s">
        <v>429</v>
      </c>
      <c r="E81" s="13" t="s">
        <v>430</v>
      </c>
      <c r="F81" s="10" t="s">
        <v>180</v>
      </c>
      <c r="G81" s="13" t="s">
        <v>431</v>
      </c>
      <c r="H81" s="14" t="s">
        <v>432</v>
      </c>
      <c r="I81" s="11" t="s">
        <v>64</v>
      </c>
      <c r="J81" s="11" t="s">
        <v>83</v>
      </c>
      <c r="K81" s="15">
        <f t="shared" si="10"/>
        <v>0</v>
      </c>
      <c r="L81" s="13" t="s">
        <v>383</v>
      </c>
      <c r="M81" s="11" t="s">
        <v>109</v>
      </c>
      <c r="N81" s="10" t="s">
        <v>74</v>
      </c>
      <c r="O81" s="13" t="s">
        <v>281</v>
      </c>
      <c r="P81" s="11" t="s">
        <v>89</v>
      </c>
      <c r="Q81" s="16">
        <v>46178</v>
      </c>
      <c r="R81" s="15" t="str">
        <f t="shared" si="11"/>
        <v>نعم</v>
      </c>
      <c r="S81" s="17" t="str">
        <f t="shared" si="12"/>
        <v>تحليل فجوة + تدقيق</v>
      </c>
      <c r="T81" s="15" t="str">
        <f t="shared" si="13"/>
        <v>حرجة</v>
      </c>
      <c r="U81" s="11" t="str">
        <f t="shared" si="14"/>
        <v>ISO 10002:2018|5.2</v>
      </c>
      <c r="V81" s="11">
        <f>IF($T81="حرجة",COUNTIF($T$4:$T81,"حرجة"),"")</f>
        <v>10</v>
      </c>
    </row>
    <row r="82" spans="1:22" ht="40" customHeight="1" x14ac:dyDescent="0.3">
      <c r="A82" s="11">
        <v>79</v>
      </c>
      <c r="B82" s="10" t="s">
        <v>12</v>
      </c>
      <c r="C82" s="11" t="s">
        <v>304</v>
      </c>
      <c r="D82" s="12" t="s">
        <v>433</v>
      </c>
      <c r="E82" s="13" t="s">
        <v>434</v>
      </c>
      <c r="F82" s="10" t="s">
        <v>180</v>
      </c>
      <c r="G82" s="13" t="s">
        <v>435</v>
      </c>
      <c r="H82" s="14" t="s">
        <v>432</v>
      </c>
      <c r="I82" s="11" t="s">
        <v>64</v>
      </c>
      <c r="J82" s="11" t="s">
        <v>93</v>
      </c>
      <c r="K82" s="15" t="str">
        <f t="shared" si="10"/>
        <v/>
      </c>
      <c r="L82" s="13" t="s">
        <v>149</v>
      </c>
      <c r="M82" s="11" t="s">
        <v>66</v>
      </c>
      <c r="N82" s="10" t="s">
        <v>108</v>
      </c>
      <c r="O82" s="13" t="s">
        <v>150</v>
      </c>
      <c r="P82" s="11" t="s">
        <v>98</v>
      </c>
      <c r="Q82" s="16">
        <v>46181</v>
      </c>
      <c r="R82" s="15" t="str">
        <f t="shared" si="11"/>
        <v>لا</v>
      </c>
      <c r="S82" s="17" t="str">
        <f t="shared" si="12"/>
        <v>—</v>
      </c>
      <c r="T82" s="15" t="str">
        <f t="shared" si="13"/>
        <v>—</v>
      </c>
      <c r="U82" s="11" t="str">
        <f t="shared" si="14"/>
        <v>ISO 10002:2018|5.3</v>
      </c>
      <c r="V82" s="11" t="str">
        <f>IF($T82="حرجة",COUNTIF($T$4:$T82,"حرجة"),"")</f>
        <v/>
      </c>
    </row>
    <row r="83" spans="1:22" ht="40" customHeight="1" x14ac:dyDescent="0.3">
      <c r="A83" s="11">
        <v>80</v>
      </c>
      <c r="B83" s="10" t="s">
        <v>12</v>
      </c>
      <c r="C83" s="11" t="s">
        <v>436</v>
      </c>
      <c r="D83" s="12" t="s">
        <v>437</v>
      </c>
      <c r="E83" s="13" t="s">
        <v>438</v>
      </c>
      <c r="F83" s="10" t="s">
        <v>180</v>
      </c>
      <c r="G83" s="13" t="s">
        <v>439</v>
      </c>
      <c r="H83" s="14" t="s">
        <v>418</v>
      </c>
      <c r="I83" s="11" t="s">
        <v>64</v>
      </c>
      <c r="J83" s="11" t="s">
        <v>62</v>
      </c>
      <c r="K83" s="15">
        <f t="shared" si="10"/>
        <v>100</v>
      </c>
      <c r="L83" s="13" t="s">
        <v>160</v>
      </c>
      <c r="M83" s="11" t="s">
        <v>103</v>
      </c>
      <c r="N83" s="10" t="s">
        <v>63</v>
      </c>
      <c r="O83" s="13" t="s">
        <v>161</v>
      </c>
      <c r="P83" s="11" t="s">
        <v>69</v>
      </c>
      <c r="Q83" s="16">
        <v>46184</v>
      </c>
      <c r="R83" s="15" t="str">
        <f t="shared" si="11"/>
        <v>لا</v>
      </c>
      <c r="S83" s="17" t="str">
        <f t="shared" si="12"/>
        <v>—</v>
      </c>
      <c r="T83" s="15" t="str">
        <f t="shared" si="13"/>
        <v>—</v>
      </c>
      <c r="U83" s="11" t="str">
        <f t="shared" si="14"/>
        <v>ISO 10002:2018|5.4</v>
      </c>
      <c r="V83" s="11" t="str">
        <f>IF($T83="حرجة",COUNTIF($T$4:$T83,"حرجة"),"")</f>
        <v/>
      </c>
    </row>
    <row r="84" spans="1:22" ht="40" customHeight="1" x14ac:dyDescent="0.3">
      <c r="A84" s="11">
        <v>81</v>
      </c>
      <c r="B84" s="10" t="s">
        <v>12</v>
      </c>
      <c r="C84" s="11" t="s">
        <v>308</v>
      </c>
      <c r="D84" s="12" t="s">
        <v>440</v>
      </c>
      <c r="E84" s="13" t="s">
        <v>239</v>
      </c>
      <c r="F84" s="10" t="s">
        <v>311</v>
      </c>
      <c r="G84" s="13" t="s">
        <v>441</v>
      </c>
      <c r="H84" s="14" t="s">
        <v>418</v>
      </c>
      <c r="I84" s="11" t="s">
        <v>85</v>
      </c>
      <c r="J84" s="11" t="s">
        <v>62</v>
      </c>
      <c r="K84" s="15">
        <f t="shared" si="10"/>
        <v>100</v>
      </c>
      <c r="L84" s="13" t="s">
        <v>160</v>
      </c>
      <c r="M84" s="11" t="s">
        <v>103</v>
      </c>
      <c r="N84" s="10" t="s">
        <v>63</v>
      </c>
      <c r="O84" s="13" t="s">
        <v>161</v>
      </c>
      <c r="P84" s="11" t="s">
        <v>79</v>
      </c>
      <c r="Q84" s="16">
        <v>46187</v>
      </c>
      <c r="R84" s="15" t="str">
        <f t="shared" si="11"/>
        <v>لا</v>
      </c>
      <c r="S84" s="17" t="str">
        <f t="shared" si="12"/>
        <v>—</v>
      </c>
      <c r="T84" s="15" t="str">
        <f t="shared" si="13"/>
        <v>—</v>
      </c>
      <c r="U84" s="11" t="str">
        <f t="shared" si="14"/>
        <v>ISO 10002:2018|6.1</v>
      </c>
      <c r="V84" s="11" t="str">
        <f>IF($T84="حرجة",COUNTIF($T$4:$T84,"حرجة"),"")</f>
        <v/>
      </c>
    </row>
    <row r="85" spans="1:22" ht="40" customHeight="1" x14ac:dyDescent="0.3">
      <c r="A85" s="11">
        <v>82</v>
      </c>
      <c r="B85" s="10" t="s">
        <v>12</v>
      </c>
      <c r="C85" s="11" t="s">
        <v>313</v>
      </c>
      <c r="D85" s="12" t="s">
        <v>442</v>
      </c>
      <c r="E85" s="13" t="s">
        <v>443</v>
      </c>
      <c r="F85" s="10" t="s">
        <v>311</v>
      </c>
      <c r="G85" s="13" t="s">
        <v>444</v>
      </c>
      <c r="H85" s="14" t="s">
        <v>418</v>
      </c>
      <c r="I85" s="11" t="s">
        <v>64</v>
      </c>
      <c r="J85" s="11" t="s">
        <v>93</v>
      </c>
      <c r="K85" s="15" t="str">
        <f t="shared" si="10"/>
        <v/>
      </c>
      <c r="L85" s="13" t="s">
        <v>149</v>
      </c>
      <c r="M85" s="11" t="s">
        <v>66</v>
      </c>
      <c r="N85" s="10" t="s">
        <v>108</v>
      </c>
      <c r="O85" s="13" t="s">
        <v>150</v>
      </c>
      <c r="P85" s="11" t="s">
        <v>89</v>
      </c>
      <c r="Q85" s="16">
        <v>46190</v>
      </c>
      <c r="R85" s="15" t="str">
        <f t="shared" si="11"/>
        <v>لا</v>
      </c>
      <c r="S85" s="17" t="str">
        <f t="shared" si="12"/>
        <v>—</v>
      </c>
      <c r="T85" s="15" t="str">
        <f t="shared" si="13"/>
        <v>—</v>
      </c>
      <c r="U85" s="11" t="str">
        <f t="shared" si="14"/>
        <v>ISO 10002:2018|6.2</v>
      </c>
      <c r="V85" s="11" t="str">
        <f>IF($T85="حرجة",COUNTIF($T$4:$T85,"حرجة"),"")</f>
        <v/>
      </c>
    </row>
    <row r="86" spans="1:22" ht="40" customHeight="1" x14ac:dyDescent="0.3">
      <c r="A86" s="11">
        <v>83</v>
      </c>
      <c r="B86" s="10" t="s">
        <v>12</v>
      </c>
      <c r="C86" s="11" t="s">
        <v>317</v>
      </c>
      <c r="D86" s="12" t="s">
        <v>445</v>
      </c>
      <c r="E86" s="13" t="s">
        <v>446</v>
      </c>
      <c r="F86" s="10" t="s">
        <v>311</v>
      </c>
      <c r="G86" s="13" t="s">
        <v>447</v>
      </c>
      <c r="H86" s="14" t="s">
        <v>418</v>
      </c>
      <c r="I86" s="11" t="s">
        <v>64</v>
      </c>
      <c r="J86" s="11" t="s">
        <v>83</v>
      </c>
      <c r="K86" s="15">
        <f t="shared" si="10"/>
        <v>0</v>
      </c>
      <c r="L86" s="13" t="s">
        <v>263</v>
      </c>
      <c r="M86" s="11" t="s">
        <v>109</v>
      </c>
      <c r="N86" s="10" t="s">
        <v>74</v>
      </c>
      <c r="O86" s="13" t="s">
        <v>210</v>
      </c>
      <c r="P86" s="11" t="s">
        <v>98</v>
      </c>
      <c r="Q86" s="16">
        <v>46193</v>
      </c>
      <c r="R86" s="15" t="str">
        <f t="shared" si="11"/>
        <v>نعم</v>
      </c>
      <c r="S86" s="17" t="str">
        <f t="shared" si="12"/>
        <v>تحليل فجوة + تدقيق</v>
      </c>
      <c r="T86" s="15" t="str">
        <f t="shared" si="13"/>
        <v>حرجة</v>
      </c>
      <c r="U86" s="11" t="str">
        <f t="shared" si="14"/>
        <v>ISO 10002:2018|6.3</v>
      </c>
      <c r="V86" s="11">
        <f>IF($T86="حرجة",COUNTIF($T$4:$T86,"حرجة"),"")</f>
        <v>11</v>
      </c>
    </row>
    <row r="87" spans="1:22" ht="40" customHeight="1" x14ac:dyDescent="0.3">
      <c r="A87" s="11">
        <v>84</v>
      </c>
      <c r="B87" s="10" t="s">
        <v>12</v>
      </c>
      <c r="C87" s="11" t="s">
        <v>321</v>
      </c>
      <c r="D87" s="12" t="s">
        <v>448</v>
      </c>
      <c r="E87" s="13" t="s">
        <v>449</v>
      </c>
      <c r="F87" s="10" t="s">
        <v>311</v>
      </c>
      <c r="G87" s="13" t="s">
        <v>450</v>
      </c>
      <c r="H87" s="14" t="s">
        <v>418</v>
      </c>
      <c r="I87" s="11" t="s">
        <v>75</v>
      </c>
      <c r="J87" s="11" t="s">
        <v>83</v>
      </c>
      <c r="K87" s="15">
        <f t="shared" si="10"/>
        <v>0</v>
      </c>
      <c r="L87" s="13" t="s">
        <v>419</v>
      </c>
      <c r="M87" s="11" t="s">
        <v>109</v>
      </c>
      <c r="N87" s="10" t="s">
        <v>84</v>
      </c>
      <c r="O87" s="13" t="s">
        <v>420</v>
      </c>
      <c r="P87" s="11" t="s">
        <v>69</v>
      </c>
      <c r="Q87" s="16">
        <v>46196</v>
      </c>
      <c r="R87" s="15" t="str">
        <f t="shared" si="11"/>
        <v>نعم</v>
      </c>
      <c r="S87" s="17" t="str">
        <f t="shared" si="12"/>
        <v>تحليل فجوة + تدقيق</v>
      </c>
      <c r="T87" s="15" t="str">
        <f t="shared" si="13"/>
        <v>عالية</v>
      </c>
      <c r="U87" s="11" t="str">
        <f t="shared" si="14"/>
        <v>ISO 10002:2018|6.4</v>
      </c>
      <c r="V87" s="11" t="str">
        <f>IF($T87="حرجة",COUNTIF($T$4:$T87,"حرجة"),"")</f>
        <v/>
      </c>
    </row>
    <row r="88" spans="1:22" ht="40" customHeight="1" x14ac:dyDescent="0.3">
      <c r="A88" s="11">
        <v>85</v>
      </c>
      <c r="B88" s="10" t="s">
        <v>12</v>
      </c>
      <c r="C88" s="11" t="s">
        <v>451</v>
      </c>
      <c r="D88" s="12" t="s">
        <v>452</v>
      </c>
      <c r="E88" s="13" t="s">
        <v>453</v>
      </c>
      <c r="F88" s="10" t="s">
        <v>186</v>
      </c>
      <c r="G88" s="13" t="s">
        <v>454</v>
      </c>
      <c r="H88" s="14" t="s">
        <v>338</v>
      </c>
      <c r="I88" s="11" t="s">
        <v>64</v>
      </c>
      <c r="J88" s="11" t="s">
        <v>62</v>
      </c>
      <c r="K88" s="15">
        <f t="shared" si="10"/>
        <v>100</v>
      </c>
      <c r="L88" s="13" t="s">
        <v>167</v>
      </c>
      <c r="M88" s="11" t="s">
        <v>103</v>
      </c>
      <c r="N88" s="10" t="s">
        <v>63</v>
      </c>
      <c r="O88" s="13" t="s">
        <v>161</v>
      </c>
      <c r="P88" s="11" t="s">
        <v>79</v>
      </c>
      <c r="Q88" s="16">
        <v>46199</v>
      </c>
      <c r="R88" s="15" t="str">
        <f t="shared" si="11"/>
        <v>لا</v>
      </c>
      <c r="S88" s="17" t="str">
        <f t="shared" si="12"/>
        <v>—</v>
      </c>
      <c r="T88" s="15" t="str">
        <f t="shared" si="13"/>
        <v>—</v>
      </c>
      <c r="U88" s="11" t="str">
        <f t="shared" si="14"/>
        <v>ISO 10002:2018|7.1</v>
      </c>
      <c r="V88" s="11" t="str">
        <f>IF($T88="حرجة",COUNTIF($T$4:$T88,"حرجة"),"")</f>
        <v/>
      </c>
    </row>
    <row r="89" spans="1:22" ht="40" customHeight="1" x14ac:dyDescent="0.3">
      <c r="A89" s="11">
        <v>86</v>
      </c>
      <c r="B89" s="10" t="s">
        <v>12</v>
      </c>
      <c r="C89" s="11" t="s">
        <v>455</v>
      </c>
      <c r="D89" s="12" t="s">
        <v>456</v>
      </c>
      <c r="E89" s="13" t="s">
        <v>457</v>
      </c>
      <c r="F89" s="10" t="s">
        <v>186</v>
      </c>
      <c r="G89" s="13" t="s">
        <v>458</v>
      </c>
      <c r="H89" s="14" t="s">
        <v>418</v>
      </c>
      <c r="I89" s="11" t="s">
        <v>75</v>
      </c>
      <c r="J89" s="11" t="s">
        <v>83</v>
      </c>
      <c r="K89" s="15">
        <f t="shared" si="10"/>
        <v>0</v>
      </c>
      <c r="L89" s="13" t="s">
        <v>383</v>
      </c>
      <c r="M89" s="11" t="s">
        <v>109</v>
      </c>
      <c r="N89" s="10" t="s">
        <v>84</v>
      </c>
      <c r="O89" s="13" t="s">
        <v>190</v>
      </c>
      <c r="P89" s="11" t="s">
        <v>89</v>
      </c>
      <c r="Q89" s="16">
        <v>46202</v>
      </c>
      <c r="R89" s="15" t="str">
        <f t="shared" si="11"/>
        <v>نعم</v>
      </c>
      <c r="S89" s="17" t="str">
        <f t="shared" si="12"/>
        <v>تحليل فجوة + تدقيق</v>
      </c>
      <c r="T89" s="15" t="str">
        <f t="shared" si="13"/>
        <v>عالية</v>
      </c>
      <c r="U89" s="11" t="str">
        <f t="shared" si="14"/>
        <v>ISO 10002:2018|7.2</v>
      </c>
      <c r="V89" s="11" t="str">
        <f>IF($T89="حرجة",COUNTIF($T$4:$T89,"حرجة"),"")</f>
        <v/>
      </c>
    </row>
    <row r="90" spans="1:22" ht="40" customHeight="1" x14ac:dyDescent="0.3">
      <c r="A90" s="11">
        <v>87</v>
      </c>
      <c r="B90" s="10" t="s">
        <v>12</v>
      </c>
      <c r="C90" s="11" t="s">
        <v>459</v>
      </c>
      <c r="D90" s="12" t="s">
        <v>460</v>
      </c>
      <c r="E90" s="13" t="s">
        <v>461</v>
      </c>
      <c r="F90" s="10" t="s">
        <v>186</v>
      </c>
      <c r="G90" s="13" t="s">
        <v>462</v>
      </c>
      <c r="H90" s="14" t="s">
        <v>418</v>
      </c>
      <c r="I90" s="11" t="s">
        <v>75</v>
      </c>
      <c r="J90" s="11" t="s">
        <v>62</v>
      </c>
      <c r="K90" s="15">
        <f t="shared" si="10"/>
        <v>100</v>
      </c>
      <c r="L90" s="13" t="s">
        <v>254</v>
      </c>
      <c r="M90" s="11" t="s">
        <v>66</v>
      </c>
      <c r="N90" s="10" t="s">
        <v>102</v>
      </c>
      <c r="O90" s="13" t="s">
        <v>168</v>
      </c>
      <c r="P90" s="11" t="s">
        <v>98</v>
      </c>
      <c r="Q90" s="16">
        <v>46205</v>
      </c>
      <c r="R90" s="15" t="str">
        <f t="shared" si="11"/>
        <v>لا</v>
      </c>
      <c r="S90" s="17" t="str">
        <f t="shared" si="12"/>
        <v>—</v>
      </c>
      <c r="T90" s="15" t="str">
        <f t="shared" si="13"/>
        <v>—</v>
      </c>
      <c r="U90" s="11" t="str">
        <f t="shared" si="14"/>
        <v>ISO 10002:2018|7.3</v>
      </c>
      <c r="V90" s="11" t="str">
        <f>IF($T90="حرجة",COUNTIF($T$4:$T90,"حرجة"),"")</f>
        <v/>
      </c>
    </row>
    <row r="91" spans="1:22" ht="40" customHeight="1" x14ac:dyDescent="0.3">
      <c r="A91" s="11">
        <v>88</v>
      </c>
      <c r="B91" s="10" t="s">
        <v>12</v>
      </c>
      <c r="C91" s="11" t="s">
        <v>463</v>
      </c>
      <c r="D91" s="12" t="s">
        <v>464</v>
      </c>
      <c r="E91" s="13" t="s">
        <v>465</v>
      </c>
      <c r="F91" s="10" t="s">
        <v>186</v>
      </c>
      <c r="G91" s="13" t="s">
        <v>466</v>
      </c>
      <c r="H91" s="14" t="s">
        <v>418</v>
      </c>
      <c r="I91" s="11" t="s">
        <v>75</v>
      </c>
      <c r="J91" s="11" t="s">
        <v>73</v>
      </c>
      <c r="K91" s="15">
        <f t="shared" si="10"/>
        <v>50</v>
      </c>
      <c r="L91" s="13" t="s">
        <v>200</v>
      </c>
      <c r="M91" s="11" t="s">
        <v>66</v>
      </c>
      <c r="N91" s="10" t="s">
        <v>63</v>
      </c>
      <c r="O91" s="13" t="s">
        <v>143</v>
      </c>
      <c r="P91" s="11" t="s">
        <v>69</v>
      </c>
      <c r="Q91" s="16">
        <v>46208</v>
      </c>
      <c r="R91" s="15" t="str">
        <f t="shared" si="11"/>
        <v>نعم</v>
      </c>
      <c r="S91" s="17" t="str">
        <f t="shared" si="12"/>
        <v>تحليل فجوة</v>
      </c>
      <c r="T91" s="15" t="str">
        <f t="shared" si="13"/>
        <v>متوسطة</v>
      </c>
      <c r="U91" s="11" t="str">
        <f t="shared" si="14"/>
        <v>ISO 10002:2018|7.4</v>
      </c>
      <c r="V91" s="11" t="str">
        <f>IF($T91="حرجة",COUNTIF($T$4:$T91,"حرجة"),"")</f>
        <v/>
      </c>
    </row>
    <row r="92" spans="1:22" ht="40" customHeight="1" x14ac:dyDescent="0.3">
      <c r="A92" s="11">
        <v>89</v>
      </c>
      <c r="B92" s="10" t="s">
        <v>12</v>
      </c>
      <c r="C92" s="11" t="s">
        <v>467</v>
      </c>
      <c r="D92" s="12" t="s">
        <v>468</v>
      </c>
      <c r="E92" s="13" t="s">
        <v>469</v>
      </c>
      <c r="F92" s="10" t="s">
        <v>186</v>
      </c>
      <c r="G92" s="13" t="s">
        <v>470</v>
      </c>
      <c r="H92" s="14" t="s">
        <v>418</v>
      </c>
      <c r="I92" s="11" t="s">
        <v>64</v>
      </c>
      <c r="J92" s="11" t="s">
        <v>73</v>
      </c>
      <c r="K92" s="15">
        <f t="shared" si="10"/>
        <v>50</v>
      </c>
      <c r="L92" s="13" t="s">
        <v>228</v>
      </c>
      <c r="M92" s="11" t="s">
        <v>66</v>
      </c>
      <c r="N92" s="10" t="s">
        <v>63</v>
      </c>
      <c r="O92" s="13" t="s">
        <v>394</v>
      </c>
      <c r="P92" s="11" t="s">
        <v>79</v>
      </c>
      <c r="Q92" s="16">
        <v>46211</v>
      </c>
      <c r="R92" s="15" t="str">
        <f t="shared" si="11"/>
        <v>نعم</v>
      </c>
      <c r="S92" s="17" t="str">
        <f t="shared" si="12"/>
        <v>تحليل فجوة</v>
      </c>
      <c r="T92" s="15" t="str">
        <f t="shared" si="13"/>
        <v>عالية</v>
      </c>
      <c r="U92" s="11" t="str">
        <f t="shared" si="14"/>
        <v>ISO 10002:2018|7.5</v>
      </c>
      <c r="V92" s="11" t="str">
        <f>IF($T92="حرجة",COUNTIF($T$4:$T92,"حرجة"),"")</f>
        <v/>
      </c>
    </row>
    <row r="93" spans="1:22" ht="40" customHeight="1" x14ac:dyDescent="0.3">
      <c r="A93" s="11">
        <v>90</v>
      </c>
      <c r="B93" s="10" t="s">
        <v>12</v>
      </c>
      <c r="C93" s="11" t="s">
        <v>471</v>
      </c>
      <c r="D93" s="12" t="s">
        <v>472</v>
      </c>
      <c r="E93" s="13" t="s">
        <v>473</v>
      </c>
      <c r="F93" s="10" t="s">
        <v>186</v>
      </c>
      <c r="G93" s="13" t="s">
        <v>474</v>
      </c>
      <c r="H93" s="14" t="s">
        <v>418</v>
      </c>
      <c r="I93" s="11" t="s">
        <v>64</v>
      </c>
      <c r="J93" s="11" t="s">
        <v>73</v>
      </c>
      <c r="K93" s="15">
        <f t="shared" si="10"/>
        <v>50</v>
      </c>
      <c r="L93" s="13" t="s">
        <v>228</v>
      </c>
      <c r="M93" s="11" t="s">
        <v>95</v>
      </c>
      <c r="N93" s="10" t="s">
        <v>84</v>
      </c>
      <c r="O93" s="13" t="s">
        <v>229</v>
      </c>
      <c r="P93" s="11" t="s">
        <v>89</v>
      </c>
      <c r="Q93" s="16">
        <v>46214</v>
      </c>
      <c r="R93" s="15" t="str">
        <f t="shared" si="11"/>
        <v>نعم</v>
      </c>
      <c r="S93" s="17" t="str">
        <f t="shared" si="12"/>
        <v>تحليل فجوة + تدقيق</v>
      </c>
      <c r="T93" s="15" t="str">
        <f t="shared" si="13"/>
        <v>عالية</v>
      </c>
      <c r="U93" s="11" t="str">
        <f t="shared" si="14"/>
        <v>ISO 10002:2018|7.6</v>
      </c>
      <c r="V93" s="11" t="str">
        <f>IF($T93="حرجة",COUNTIF($T$4:$T93,"حرجة"),"")</f>
        <v/>
      </c>
    </row>
    <row r="94" spans="1:22" ht="40" customHeight="1" x14ac:dyDescent="0.3">
      <c r="A94" s="11">
        <v>91</v>
      </c>
      <c r="B94" s="10" t="s">
        <v>12</v>
      </c>
      <c r="C94" s="11" t="s">
        <v>475</v>
      </c>
      <c r="D94" s="12" t="s">
        <v>476</v>
      </c>
      <c r="E94" s="13" t="s">
        <v>477</v>
      </c>
      <c r="F94" s="10" t="s">
        <v>186</v>
      </c>
      <c r="G94" s="13" t="s">
        <v>478</v>
      </c>
      <c r="H94" s="14" t="s">
        <v>418</v>
      </c>
      <c r="I94" s="11" t="s">
        <v>75</v>
      </c>
      <c r="J94" s="11" t="s">
        <v>73</v>
      </c>
      <c r="K94" s="15">
        <f t="shared" si="10"/>
        <v>50</v>
      </c>
      <c r="L94" s="13" t="s">
        <v>216</v>
      </c>
      <c r="M94" s="11" t="s">
        <v>66</v>
      </c>
      <c r="N94" s="10" t="s">
        <v>84</v>
      </c>
      <c r="O94" s="13" t="s">
        <v>176</v>
      </c>
      <c r="P94" s="11" t="s">
        <v>98</v>
      </c>
      <c r="Q94" s="16">
        <v>46217</v>
      </c>
      <c r="R94" s="15" t="str">
        <f t="shared" si="11"/>
        <v>نعم</v>
      </c>
      <c r="S94" s="17" t="str">
        <f t="shared" si="12"/>
        <v>تحليل فجوة + تدقيق</v>
      </c>
      <c r="T94" s="15" t="str">
        <f t="shared" si="13"/>
        <v>عالية</v>
      </c>
      <c r="U94" s="11" t="str">
        <f t="shared" si="14"/>
        <v>ISO 10002:2018|7.7</v>
      </c>
      <c r="V94" s="11" t="str">
        <f>IF($T94="حرجة",COUNTIF($T$4:$T94,"حرجة"),"")</f>
        <v/>
      </c>
    </row>
    <row r="95" spans="1:22" ht="40" customHeight="1" x14ac:dyDescent="0.3">
      <c r="A95" s="11">
        <v>92</v>
      </c>
      <c r="B95" s="10" t="s">
        <v>12</v>
      </c>
      <c r="C95" s="11" t="s">
        <v>479</v>
      </c>
      <c r="D95" s="12" t="s">
        <v>480</v>
      </c>
      <c r="E95" s="13" t="s">
        <v>481</v>
      </c>
      <c r="F95" s="10" t="s">
        <v>186</v>
      </c>
      <c r="G95" s="13" t="s">
        <v>482</v>
      </c>
      <c r="H95" s="14" t="s">
        <v>418</v>
      </c>
      <c r="I95" s="11" t="s">
        <v>64</v>
      </c>
      <c r="J95" s="11" t="s">
        <v>62</v>
      </c>
      <c r="K95" s="15">
        <f t="shared" si="10"/>
        <v>100</v>
      </c>
      <c r="L95" s="13" t="s">
        <v>182</v>
      </c>
      <c r="M95" s="11" t="s">
        <v>66</v>
      </c>
      <c r="N95" s="10" t="s">
        <v>63</v>
      </c>
      <c r="O95" s="13" t="s">
        <v>161</v>
      </c>
      <c r="P95" s="11" t="s">
        <v>69</v>
      </c>
      <c r="Q95" s="16">
        <v>46174</v>
      </c>
      <c r="R95" s="15" t="str">
        <f t="shared" si="11"/>
        <v>لا</v>
      </c>
      <c r="S95" s="17" t="str">
        <f t="shared" si="12"/>
        <v>—</v>
      </c>
      <c r="T95" s="15" t="str">
        <f t="shared" si="13"/>
        <v>—</v>
      </c>
      <c r="U95" s="11" t="str">
        <f t="shared" si="14"/>
        <v>ISO 10002:2018|7.8</v>
      </c>
      <c r="V95" s="11" t="str">
        <f>IF($T95="حرجة",COUNTIF($T$4:$T95,"حرجة"),"")</f>
        <v/>
      </c>
    </row>
    <row r="96" spans="1:22" ht="40" customHeight="1" x14ac:dyDescent="0.3">
      <c r="A96" s="11">
        <v>93</v>
      </c>
      <c r="B96" s="10" t="s">
        <v>12</v>
      </c>
      <c r="C96" s="11" t="s">
        <v>483</v>
      </c>
      <c r="D96" s="12" t="s">
        <v>484</v>
      </c>
      <c r="E96" s="13" t="s">
        <v>485</v>
      </c>
      <c r="F96" s="10" t="s">
        <v>186</v>
      </c>
      <c r="G96" s="13" t="s">
        <v>486</v>
      </c>
      <c r="H96" s="14" t="s">
        <v>418</v>
      </c>
      <c r="I96" s="11" t="s">
        <v>85</v>
      </c>
      <c r="J96" s="11" t="s">
        <v>73</v>
      </c>
      <c r="K96" s="15">
        <f t="shared" si="10"/>
        <v>50</v>
      </c>
      <c r="L96" s="13" t="s">
        <v>142</v>
      </c>
      <c r="M96" s="11" t="s">
        <v>66</v>
      </c>
      <c r="N96" s="10" t="s">
        <v>84</v>
      </c>
      <c r="O96" s="13" t="s">
        <v>229</v>
      </c>
      <c r="P96" s="11" t="s">
        <v>79</v>
      </c>
      <c r="Q96" s="16">
        <v>46177</v>
      </c>
      <c r="R96" s="15" t="str">
        <f t="shared" si="11"/>
        <v>نعم</v>
      </c>
      <c r="S96" s="17" t="str">
        <f t="shared" si="12"/>
        <v>تحليل فجوة + تدقيق</v>
      </c>
      <c r="T96" s="15" t="str">
        <f t="shared" si="13"/>
        <v>عالية</v>
      </c>
      <c r="U96" s="11" t="str">
        <f t="shared" si="14"/>
        <v>ISO 10002:2018|7.9</v>
      </c>
      <c r="V96" s="11" t="str">
        <f>IF($T96="حرجة",COUNTIF($T$4:$T96,"حرجة"),"")</f>
        <v/>
      </c>
    </row>
    <row r="97" spans="1:22" ht="40" customHeight="1" x14ac:dyDescent="0.3">
      <c r="A97" s="11">
        <v>94</v>
      </c>
      <c r="B97" s="10" t="s">
        <v>12</v>
      </c>
      <c r="C97" s="11" t="s">
        <v>347</v>
      </c>
      <c r="D97" s="12" t="s">
        <v>348</v>
      </c>
      <c r="E97" s="13" t="s">
        <v>349</v>
      </c>
      <c r="F97" s="10" t="s">
        <v>233</v>
      </c>
      <c r="G97" s="13" t="s">
        <v>350</v>
      </c>
      <c r="H97" s="14" t="s">
        <v>351</v>
      </c>
      <c r="I97" s="11" t="s">
        <v>64</v>
      </c>
      <c r="J97" s="11" t="s">
        <v>62</v>
      </c>
      <c r="K97" s="15">
        <f t="shared" si="10"/>
        <v>100</v>
      </c>
      <c r="L97" s="13" t="s">
        <v>167</v>
      </c>
      <c r="M97" s="11" t="s">
        <v>103</v>
      </c>
      <c r="N97" s="10" t="s">
        <v>63</v>
      </c>
      <c r="O97" s="13" t="s">
        <v>161</v>
      </c>
      <c r="P97" s="11" t="s">
        <v>89</v>
      </c>
      <c r="Q97" s="16">
        <v>46180</v>
      </c>
      <c r="R97" s="15" t="str">
        <f t="shared" si="11"/>
        <v>لا</v>
      </c>
      <c r="S97" s="17" t="str">
        <f t="shared" si="12"/>
        <v>—</v>
      </c>
      <c r="T97" s="15" t="str">
        <f t="shared" si="13"/>
        <v>—</v>
      </c>
      <c r="U97" s="11" t="str">
        <f t="shared" si="14"/>
        <v>ISO 10002:2018|8.1</v>
      </c>
      <c r="V97" s="11" t="str">
        <f>IF($T97="حرجة",COUNTIF($T$4:$T97,"حرجة"),"")</f>
        <v/>
      </c>
    </row>
    <row r="98" spans="1:22" ht="40" customHeight="1" x14ac:dyDescent="0.3">
      <c r="A98" s="11">
        <v>95</v>
      </c>
      <c r="B98" s="10" t="s">
        <v>12</v>
      </c>
      <c r="C98" s="11" t="s">
        <v>352</v>
      </c>
      <c r="D98" s="12" t="s">
        <v>487</v>
      </c>
      <c r="E98" s="13" t="s">
        <v>488</v>
      </c>
      <c r="F98" s="10" t="s">
        <v>233</v>
      </c>
      <c r="G98" s="13" t="s">
        <v>489</v>
      </c>
      <c r="H98" s="14" t="s">
        <v>351</v>
      </c>
      <c r="I98" s="11" t="s">
        <v>64</v>
      </c>
      <c r="J98" s="11" t="s">
        <v>62</v>
      </c>
      <c r="K98" s="15">
        <f t="shared" si="10"/>
        <v>100</v>
      </c>
      <c r="L98" s="13" t="s">
        <v>167</v>
      </c>
      <c r="M98" s="11" t="s">
        <v>76</v>
      </c>
      <c r="N98" s="10" t="s">
        <v>63</v>
      </c>
      <c r="O98" s="13" t="s">
        <v>161</v>
      </c>
      <c r="P98" s="11" t="s">
        <v>98</v>
      </c>
      <c r="Q98" s="16">
        <v>46183</v>
      </c>
      <c r="R98" s="15" t="str">
        <f t="shared" si="11"/>
        <v>لا</v>
      </c>
      <c r="S98" s="17" t="str">
        <f t="shared" si="12"/>
        <v>—</v>
      </c>
      <c r="T98" s="15" t="str">
        <f t="shared" si="13"/>
        <v>—</v>
      </c>
      <c r="U98" s="11" t="str">
        <f t="shared" si="14"/>
        <v>ISO 10002:2018|8.2</v>
      </c>
      <c r="V98" s="11" t="str">
        <f>IF($T98="حرجة",COUNTIF($T$4:$T98,"حرجة"),"")</f>
        <v/>
      </c>
    </row>
    <row r="99" spans="1:22" ht="40" customHeight="1" x14ac:dyDescent="0.3">
      <c r="A99" s="11">
        <v>96</v>
      </c>
      <c r="B99" s="10" t="s">
        <v>12</v>
      </c>
      <c r="C99" s="11" t="s">
        <v>356</v>
      </c>
      <c r="D99" s="12" t="s">
        <v>490</v>
      </c>
      <c r="E99" s="13" t="s">
        <v>491</v>
      </c>
      <c r="F99" s="10" t="s">
        <v>233</v>
      </c>
      <c r="G99" s="13" t="s">
        <v>492</v>
      </c>
      <c r="H99" s="14" t="s">
        <v>360</v>
      </c>
      <c r="I99" s="11" t="s">
        <v>75</v>
      </c>
      <c r="J99" s="11" t="s">
        <v>83</v>
      </c>
      <c r="K99" s="15">
        <f t="shared" si="10"/>
        <v>0</v>
      </c>
      <c r="L99" s="13" t="s">
        <v>383</v>
      </c>
      <c r="M99" s="11" t="s">
        <v>109</v>
      </c>
      <c r="N99" s="10" t="s">
        <v>84</v>
      </c>
      <c r="O99" s="13" t="s">
        <v>420</v>
      </c>
      <c r="P99" s="11" t="s">
        <v>69</v>
      </c>
      <c r="Q99" s="16">
        <v>46186</v>
      </c>
      <c r="R99" s="15" t="str">
        <f t="shared" si="11"/>
        <v>نعم</v>
      </c>
      <c r="S99" s="17" t="str">
        <f t="shared" si="12"/>
        <v>تحليل فجوة + تدقيق</v>
      </c>
      <c r="T99" s="15" t="str">
        <f t="shared" si="13"/>
        <v>عالية</v>
      </c>
      <c r="U99" s="11" t="str">
        <f t="shared" si="14"/>
        <v>ISO 10002:2018|8.3</v>
      </c>
      <c r="V99" s="11" t="str">
        <f>IF($T99="حرجة",COUNTIF($T$4:$T99,"حرجة"),"")</f>
        <v/>
      </c>
    </row>
    <row r="100" spans="1:22" ht="40" customHeight="1" x14ac:dyDescent="0.3">
      <c r="A100" s="11">
        <v>97</v>
      </c>
      <c r="B100" s="10" t="s">
        <v>12</v>
      </c>
      <c r="C100" s="11" t="s">
        <v>361</v>
      </c>
      <c r="D100" s="12" t="s">
        <v>493</v>
      </c>
      <c r="E100" s="13" t="s">
        <v>494</v>
      </c>
      <c r="F100" s="10" t="s">
        <v>233</v>
      </c>
      <c r="G100" s="13" t="s">
        <v>495</v>
      </c>
      <c r="H100" s="14" t="s">
        <v>496</v>
      </c>
      <c r="I100" s="11" t="s">
        <v>64</v>
      </c>
      <c r="J100" s="11" t="s">
        <v>93</v>
      </c>
      <c r="K100" s="15" t="str">
        <f t="shared" ref="K100:K131" si="15">IF($J100="مطبق كلياً",100,IF($J100="مطبق جزئياً",50,IF($J100="غير مطبق",0,"")))</f>
        <v/>
      </c>
      <c r="L100" s="13" t="s">
        <v>149</v>
      </c>
      <c r="M100" s="11" t="s">
        <v>66</v>
      </c>
      <c r="N100" s="10" t="s">
        <v>108</v>
      </c>
      <c r="O100" s="13" t="s">
        <v>150</v>
      </c>
      <c r="P100" s="11" t="s">
        <v>79</v>
      </c>
      <c r="Q100" s="16">
        <v>46189</v>
      </c>
      <c r="R100" s="15" t="str">
        <f t="shared" ref="R100:R131" si="16">IF(OR($J100="غير مطبق",$J100="مطبق جزئياً",$N100="عدم مطابقة كبرى",$N100="عدم مطابقة صغرى"),"نعم","لا")</f>
        <v>لا</v>
      </c>
      <c r="S100" s="17" t="str">
        <f t="shared" ref="S100:S131" si="17">IF($R100="لا","—",IF(AND(OR($J100="غير مطبق",$J100="مطبق جزئياً"),OR($N100="عدم مطابقة كبرى",$N100="عدم مطابقة صغرى")),"تحليل فجوة + تدقيق",IF(OR($J100="غير مطبق",$J100="مطبق جزئياً"),"تحليل فجوة","تدقيق داخلي")))</f>
        <v>—</v>
      </c>
      <c r="T100" s="15" t="str">
        <f t="shared" ref="T100:T131" si="18">IF($R100="لا","—",IF(OR($N100="عدم مطابقة كبرى",AND($I100="عالية",$J100="غير مطبق")),"حرجة",IF(OR(AND($I100="عالية",$J100="مطبق جزئياً"),AND($I100="متوسطة",$J100="غير مطبق"),$N100="عدم مطابقة صغرى"),"عالية",IF($I100="منخفضة","منخفضة","متوسطة"))))</f>
        <v>—</v>
      </c>
      <c r="U100" s="11" t="str">
        <f t="shared" ref="U100:U131" si="19">$B100&amp;"|"&amp;$C100</f>
        <v>ISO 10002:2018|8.4</v>
      </c>
      <c r="V100" s="11" t="str">
        <f>IF($T100="حرجة",COUNTIF($T$4:$T100,"حرجة"),"")</f>
        <v/>
      </c>
    </row>
    <row r="101" spans="1:22" ht="40" customHeight="1" x14ac:dyDescent="0.3">
      <c r="A101" s="11">
        <v>98</v>
      </c>
      <c r="B101" s="10" t="s">
        <v>12</v>
      </c>
      <c r="C101" s="11" t="s">
        <v>367</v>
      </c>
      <c r="D101" s="12" t="s">
        <v>497</v>
      </c>
      <c r="E101" s="13" t="s">
        <v>498</v>
      </c>
      <c r="F101" s="10" t="s">
        <v>233</v>
      </c>
      <c r="G101" s="13" t="s">
        <v>499</v>
      </c>
      <c r="H101" s="14" t="s">
        <v>496</v>
      </c>
      <c r="I101" s="11" t="s">
        <v>64</v>
      </c>
      <c r="J101" s="11" t="s">
        <v>73</v>
      </c>
      <c r="K101" s="15">
        <f t="shared" si="15"/>
        <v>50</v>
      </c>
      <c r="L101" s="13" t="s">
        <v>228</v>
      </c>
      <c r="M101" s="11" t="s">
        <v>95</v>
      </c>
      <c r="N101" s="10" t="s">
        <v>102</v>
      </c>
      <c r="O101" s="13" t="s">
        <v>176</v>
      </c>
      <c r="P101" s="11" t="s">
        <v>89</v>
      </c>
      <c r="Q101" s="16">
        <v>46192</v>
      </c>
      <c r="R101" s="15" t="str">
        <f t="shared" si="16"/>
        <v>نعم</v>
      </c>
      <c r="S101" s="17" t="str">
        <f t="shared" si="17"/>
        <v>تحليل فجوة</v>
      </c>
      <c r="T101" s="15" t="str">
        <f t="shared" si="18"/>
        <v>عالية</v>
      </c>
      <c r="U101" s="11" t="str">
        <f t="shared" si="19"/>
        <v>ISO 10002:2018|8.5</v>
      </c>
      <c r="V101" s="11" t="str">
        <f>IF($T101="حرجة",COUNTIF($T$4:$T101,"حرجة"),"")</f>
        <v/>
      </c>
    </row>
    <row r="102" spans="1:22" ht="40" customHeight="1" x14ac:dyDescent="0.3">
      <c r="A102" s="11">
        <v>99</v>
      </c>
      <c r="B102" s="10" t="s">
        <v>12</v>
      </c>
      <c r="C102" s="11" t="s">
        <v>500</v>
      </c>
      <c r="D102" s="12" t="s">
        <v>501</v>
      </c>
      <c r="E102" s="13" t="s">
        <v>502</v>
      </c>
      <c r="F102" s="10" t="s">
        <v>233</v>
      </c>
      <c r="G102" s="13" t="s">
        <v>503</v>
      </c>
      <c r="H102" s="14" t="s">
        <v>365</v>
      </c>
      <c r="I102" s="11" t="s">
        <v>75</v>
      </c>
      <c r="J102" s="11" t="s">
        <v>62</v>
      </c>
      <c r="K102" s="15">
        <f t="shared" si="15"/>
        <v>100</v>
      </c>
      <c r="L102" s="13" t="s">
        <v>182</v>
      </c>
      <c r="M102" s="11" t="s">
        <v>103</v>
      </c>
      <c r="N102" s="10" t="s">
        <v>63</v>
      </c>
      <c r="O102" s="13" t="s">
        <v>161</v>
      </c>
      <c r="P102" s="11" t="s">
        <v>98</v>
      </c>
      <c r="Q102" s="16">
        <v>46195</v>
      </c>
      <c r="R102" s="15" t="str">
        <f t="shared" si="16"/>
        <v>لا</v>
      </c>
      <c r="S102" s="17" t="str">
        <f t="shared" si="17"/>
        <v>—</v>
      </c>
      <c r="T102" s="15" t="str">
        <f t="shared" si="18"/>
        <v>—</v>
      </c>
      <c r="U102" s="11" t="str">
        <f t="shared" si="19"/>
        <v>ISO 10002:2018|8.6</v>
      </c>
      <c r="V102" s="11" t="str">
        <f>IF($T102="حرجة",COUNTIF($T$4:$T102,"حرجة"),"")</f>
        <v/>
      </c>
    </row>
    <row r="103" spans="1:22" ht="40" customHeight="1" x14ac:dyDescent="0.3">
      <c r="A103" s="11">
        <v>100</v>
      </c>
      <c r="B103" s="10" t="s">
        <v>12</v>
      </c>
      <c r="C103" s="11" t="s">
        <v>504</v>
      </c>
      <c r="D103" s="12" t="s">
        <v>368</v>
      </c>
      <c r="E103" s="13" t="s">
        <v>369</v>
      </c>
      <c r="F103" s="10" t="s">
        <v>233</v>
      </c>
      <c r="G103" s="13" t="s">
        <v>370</v>
      </c>
      <c r="H103" s="14" t="s">
        <v>371</v>
      </c>
      <c r="I103" s="11" t="s">
        <v>75</v>
      </c>
      <c r="J103" s="11" t="s">
        <v>62</v>
      </c>
      <c r="K103" s="15">
        <f t="shared" si="15"/>
        <v>100</v>
      </c>
      <c r="L103" s="13" t="s">
        <v>167</v>
      </c>
      <c r="M103" s="11" t="s">
        <v>76</v>
      </c>
      <c r="N103" s="10" t="s">
        <v>63</v>
      </c>
      <c r="O103" s="13" t="s">
        <v>161</v>
      </c>
      <c r="P103" s="11" t="s">
        <v>69</v>
      </c>
      <c r="Q103" s="16">
        <v>46198</v>
      </c>
      <c r="R103" s="15" t="str">
        <f t="shared" si="16"/>
        <v>لا</v>
      </c>
      <c r="S103" s="17" t="str">
        <f t="shared" si="17"/>
        <v>—</v>
      </c>
      <c r="T103" s="15" t="str">
        <f t="shared" si="18"/>
        <v>—</v>
      </c>
      <c r="U103" s="11" t="str">
        <f t="shared" si="19"/>
        <v>ISO 10002:2018|8.7</v>
      </c>
      <c r="V103" s="11" t="str">
        <f>IF($T103="حرجة",COUNTIF($T$4:$T103,"حرجة"),"")</f>
        <v/>
      </c>
    </row>
    <row r="104" spans="1:22" ht="40" customHeight="1" x14ac:dyDescent="0.3">
      <c r="A104" s="11">
        <v>101</v>
      </c>
      <c r="B104" s="10" t="s">
        <v>12</v>
      </c>
      <c r="C104" s="11" t="s">
        <v>372</v>
      </c>
      <c r="D104" s="12" t="s">
        <v>379</v>
      </c>
      <c r="E104" s="13" t="s">
        <v>505</v>
      </c>
      <c r="F104" s="10" t="s">
        <v>375</v>
      </c>
      <c r="G104" s="13" t="s">
        <v>381</v>
      </c>
      <c r="H104" s="14" t="s">
        <v>382</v>
      </c>
      <c r="I104" s="11" t="s">
        <v>64</v>
      </c>
      <c r="J104" s="11" t="s">
        <v>73</v>
      </c>
      <c r="K104" s="15">
        <f t="shared" si="15"/>
        <v>50</v>
      </c>
      <c r="L104" s="13" t="s">
        <v>175</v>
      </c>
      <c r="M104" s="11" t="s">
        <v>66</v>
      </c>
      <c r="N104" s="10" t="s">
        <v>84</v>
      </c>
      <c r="O104" s="13" t="s">
        <v>229</v>
      </c>
      <c r="P104" s="11" t="s">
        <v>79</v>
      </c>
      <c r="Q104" s="16">
        <v>46201</v>
      </c>
      <c r="R104" s="15" t="str">
        <f t="shared" si="16"/>
        <v>نعم</v>
      </c>
      <c r="S104" s="17" t="str">
        <f t="shared" si="17"/>
        <v>تحليل فجوة + تدقيق</v>
      </c>
      <c r="T104" s="15" t="str">
        <f t="shared" si="18"/>
        <v>عالية</v>
      </c>
      <c r="U104" s="11" t="str">
        <f t="shared" si="19"/>
        <v>ISO 10002:2018|الملحق A</v>
      </c>
      <c r="V104" s="11" t="str">
        <f>IF($T104="حرجة",COUNTIF($T$4:$T104,"حرجة"),"")</f>
        <v/>
      </c>
    </row>
    <row r="105" spans="1:22" ht="40" customHeight="1" x14ac:dyDescent="0.3">
      <c r="A105" s="11">
        <v>102</v>
      </c>
      <c r="B105" s="10" t="s">
        <v>12</v>
      </c>
      <c r="C105" s="11" t="s">
        <v>378</v>
      </c>
      <c r="D105" s="12" t="s">
        <v>385</v>
      </c>
      <c r="E105" s="13" t="s">
        <v>506</v>
      </c>
      <c r="F105" s="10" t="s">
        <v>375</v>
      </c>
      <c r="G105" s="13" t="s">
        <v>387</v>
      </c>
      <c r="H105" s="14" t="s">
        <v>388</v>
      </c>
      <c r="I105" s="11" t="s">
        <v>64</v>
      </c>
      <c r="J105" s="11" t="s">
        <v>73</v>
      </c>
      <c r="K105" s="15">
        <f t="shared" si="15"/>
        <v>50</v>
      </c>
      <c r="L105" s="13" t="s">
        <v>200</v>
      </c>
      <c r="M105" s="11" t="s">
        <v>76</v>
      </c>
      <c r="N105" s="10" t="s">
        <v>63</v>
      </c>
      <c r="O105" s="13" t="s">
        <v>229</v>
      </c>
      <c r="P105" s="11" t="s">
        <v>89</v>
      </c>
      <c r="Q105" s="16">
        <v>46204</v>
      </c>
      <c r="R105" s="15" t="str">
        <f t="shared" si="16"/>
        <v>نعم</v>
      </c>
      <c r="S105" s="17" t="str">
        <f t="shared" si="17"/>
        <v>تحليل فجوة</v>
      </c>
      <c r="T105" s="15" t="str">
        <f t="shared" si="18"/>
        <v>عالية</v>
      </c>
      <c r="U105" s="11" t="str">
        <f t="shared" si="19"/>
        <v>ISO 10002:2018|الملحق B</v>
      </c>
      <c r="V105" s="11" t="str">
        <f>IF($T105="حرجة",COUNTIF($T$4:$T105,"حرجة"),"")</f>
        <v/>
      </c>
    </row>
    <row r="106" spans="1:22" ht="40" customHeight="1" x14ac:dyDescent="0.3">
      <c r="A106" s="11">
        <v>103</v>
      </c>
      <c r="B106" s="10" t="s">
        <v>12</v>
      </c>
      <c r="C106" s="11" t="s">
        <v>384</v>
      </c>
      <c r="D106" s="12" t="s">
        <v>507</v>
      </c>
      <c r="E106" s="13" t="s">
        <v>508</v>
      </c>
      <c r="F106" s="10" t="s">
        <v>375</v>
      </c>
      <c r="G106" s="13" t="s">
        <v>509</v>
      </c>
      <c r="H106" s="14" t="s">
        <v>510</v>
      </c>
      <c r="I106" s="11" t="s">
        <v>85</v>
      </c>
      <c r="J106" s="11" t="s">
        <v>73</v>
      </c>
      <c r="K106" s="15">
        <f t="shared" si="15"/>
        <v>50</v>
      </c>
      <c r="L106" s="13" t="s">
        <v>175</v>
      </c>
      <c r="M106" s="11" t="s">
        <v>95</v>
      </c>
      <c r="N106" s="10" t="s">
        <v>63</v>
      </c>
      <c r="O106" s="13" t="s">
        <v>229</v>
      </c>
      <c r="P106" s="11" t="s">
        <v>98</v>
      </c>
      <c r="Q106" s="16">
        <v>46207</v>
      </c>
      <c r="R106" s="15" t="str">
        <f t="shared" si="16"/>
        <v>نعم</v>
      </c>
      <c r="S106" s="17" t="str">
        <f t="shared" si="17"/>
        <v>تحليل فجوة</v>
      </c>
      <c r="T106" s="15" t="str">
        <f t="shared" si="18"/>
        <v>منخفضة</v>
      </c>
      <c r="U106" s="11" t="str">
        <f t="shared" si="19"/>
        <v>ISO 10002:2018|الملحق C</v>
      </c>
      <c r="V106" s="11" t="str">
        <f>IF($T106="حرجة",COUNTIF($T$4:$T106,"حرجة"),"")</f>
        <v/>
      </c>
    </row>
    <row r="107" spans="1:22" ht="40" customHeight="1" x14ac:dyDescent="0.3">
      <c r="A107" s="11">
        <v>104</v>
      </c>
      <c r="B107" s="10" t="s">
        <v>12</v>
      </c>
      <c r="C107" s="11" t="s">
        <v>389</v>
      </c>
      <c r="D107" s="12" t="s">
        <v>511</v>
      </c>
      <c r="E107" s="13" t="s">
        <v>422</v>
      </c>
      <c r="F107" s="10" t="s">
        <v>375</v>
      </c>
      <c r="G107" s="13" t="s">
        <v>512</v>
      </c>
      <c r="H107" s="14" t="s">
        <v>418</v>
      </c>
      <c r="I107" s="11" t="s">
        <v>85</v>
      </c>
      <c r="J107" s="11" t="s">
        <v>73</v>
      </c>
      <c r="K107" s="15">
        <f t="shared" si="15"/>
        <v>50</v>
      </c>
      <c r="L107" s="13" t="s">
        <v>175</v>
      </c>
      <c r="M107" s="11" t="s">
        <v>66</v>
      </c>
      <c r="N107" s="10" t="s">
        <v>84</v>
      </c>
      <c r="O107" s="13" t="s">
        <v>217</v>
      </c>
      <c r="P107" s="11" t="s">
        <v>69</v>
      </c>
      <c r="Q107" s="16">
        <v>46210</v>
      </c>
      <c r="R107" s="15" t="str">
        <f t="shared" si="16"/>
        <v>نعم</v>
      </c>
      <c r="S107" s="17" t="str">
        <f t="shared" si="17"/>
        <v>تحليل فجوة + تدقيق</v>
      </c>
      <c r="T107" s="15" t="str">
        <f t="shared" si="18"/>
        <v>عالية</v>
      </c>
      <c r="U107" s="11" t="str">
        <f t="shared" si="19"/>
        <v>ISO 10002:2018|الملحق D</v>
      </c>
      <c r="V107" s="11" t="str">
        <f>IF($T107="حرجة",COUNTIF($T$4:$T107,"حرجة"),"")</f>
        <v/>
      </c>
    </row>
    <row r="108" spans="1:22" ht="40" customHeight="1" x14ac:dyDescent="0.3">
      <c r="A108" s="11">
        <v>105</v>
      </c>
      <c r="B108" s="10" t="s">
        <v>12</v>
      </c>
      <c r="C108" s="11" t="s">
        <v>395</v>
      </c>
      <c r="D108" s="12" t="s">
        <v>513</v>
      </c>
      <c r="E108" s="13" t="s">
        <v>514</v>
      </c>
      <c r="F108" s="10" t="s">
        <v>375</v>
      </c>
      <c r="G108" s="13" t="s">
        <v>515</v>
      </c>
      <c r="H108" s="14" t="s">
        <v>418</v>
      </c>
      <c r="I108" s="11" t="s">
        <v>85</v>
      </c>
      <c r="J108" s="11" t="s">
        <v>73</v>
      </c>
      <c r="K108" s="15">
        <f t="shared" si="15"/>
        <v>50</v>
      </c>
      <c r="L108" s="13" t="s">
        <v>142</v>
      </c>
      <c r="M108" s="11" t="s">
        <v>76</v>
      </c>
      <c r="N108" s="10" t="s">
        <v>94</v>
      </c>
      <c r="O108" s="13" t="s">
        <v>394</v>
      </c>
      <c r="P108" s="11" t="s">
        <v>79</v>
      </c>
      <c r="Q108" s="16">
        <v>46213</v>
      </c>
      <c r="R108" s="15" t="str">
        <f t="shared" si="16"/>
        <v>نعم</v>
      </c>
      <c r="S108" s="17" t="str">
        <f t="shared" si="17"/>
        <v>تحليل فجوة</v>
      </c>
      <c r="T108" s="15" t="str">
        <f t="shared" si="18"/>
        <v>منخفضة</v>
      </c>
      <c r="U108" s="11" t="str">
        <f t="shared" si="19"/>
        <v>ISO 10002:2018|الملحق E</v>
      </c>
      <c r="V108" s="11" t="str">
        <f>IF($T108="حرجة",COUNTIF($T$4:$T108,"حرجة"),"")</f>
        <v/>
      </c>
    </row>
    <row r="109" spans="1:22" ht="40" customHeight="1" x14ac:dyDescent="0.3">
      <c r="A109" s="11">
        <v>106</v>
      </c>
      <c r="B109" s="10" t="s">
        <v>12</v>
      </c>
      <c r="C109" s="11" t="s">
        <v>400</v>
      </c>
      <c r="D109" s="12" t="s">
        <v>516</v>
      </c>
      <c r="E109" s="13" t="s">
        <v>517</v>
      </c>
      <c r="F109" s="10" t="s">
        <v>375</v>
      </c>
      <c r="G109" s="13" t="s">
        <v>518</v>
      </c>
      <c r="H109" s="14" t="s">
        <v>519</v>
      </c>
      <c r="I109" s="11" t="s">
        <v>75</v>
      </c>
      <c r="J109" s="11" t="s">
        <v>73</v>
      </c>
      <c r="K109" s="15">
        <f t="shared" si="15"/>
        <v>50</v>
      </c>
      <c r="L109" s="13" t="s">
        <v>200</v>
      </c>
      <c r="M109" s="11" t="s">
        <v>76</v>
      </c>
      <c r="N109" s="10" t="s">
        <v>84</v>
      </c>
      <c r="O109" s="13" t="s">
        <v>217</v>
      </c>
      <c r="P109" s="11" t="s">
        <v>89</v>
      </c>
      <c r="Q109" s="16">
        <v>46216</v>
      </c>
      <c r="R109" s="15" t="str">
        <f t="shared" si="16"/>
        <v>نعم</v>
      </c>
      <c r="S109" s="17" t="str">
        <f t="shared" si="17"/>
        <v>تحليل فجوة + تدقيق</v>
      </c>
      <c r="T109" s="15" t="str">
        <f t="shared" si="18"/>
        <v>عالية</v>
      </c>
      <c r="U109" s="11" t="str">
        <f t="shared" si="19"/>
        <v>ISO 10002:2018|الملحق F</v>
      </c>
      <c r="V109" s="11" t="str">
        <f>IF($T109="حرجة",COUNTIF($T$4:$T109,"حرجة"),"")</f>
        <v/>
      </c>
    </row>
    <row r="110" spans="1:22" ht="40" customHeight="1" x14ac:dyDescent="0.3">
      <c r="A110" s="11">
        <v>107</v>
      </c>
      <c r="B110" s="10" t="s">
        <v>12</v>
      </c>
      <c r="C110" s="11" t="s">
        <v>404</v>
      </c>
      <c r="D110" s="12" t="s">
        <v>520</v>
      </c>
      <c r="E110" s="13" t="s">
        <v>521</v>
      </c>
      <c r="F110" s="10" t="s">
        <v>375</v>
      </c>
      <c r="G110" s="13" t="s">
        <v>522</v>
      </c>
      <c r="H110" s="14" t="s">
        <v>523</v>
      </c>
      <c r="I110" s="11" t="s">
        <v>85</v>
      </c>
      <c r="J110" s="11" t="s">
        <v>73</v>
      </c>
      <c r="K110" s="15">
        <f t="shared" si="15"/>
        <v>50</v>
      </c>
      <c r="L110" s="13" t="s">
        <v>200</v>
      </c>
      <c r="M110" s="11" t="s">
        <v>66</v>
      </c>
      <c r="N110" s="10" t="s">
        <v>94</v>
      </c>
      <c r="O110" s="13" t="s">
        <v>143</v>
      </c>
      <c r="P110" s="11" t="s">
        <v>98</v>
      </c>
      <c r="Q110" s="16">
        <v>46219</v>
      </c>
      <c r="R110" s="15" t="str">
        <f t="shared" si="16"/>
        <v>نعم</v>
      </c>
      <c r="S110" s="17" t="str">
        <f t="shared" si="17"/>
        <v>تحليل فجوة</v>
      </c>
      <c r="T110" s="15" t="str">
        <f t="shared" si="18"/>
        <v>منخفضة</v>
      </c>
      <c r="U110" s="11" t="str">
        <f t="shared" si="19"/>
        <v>ISO 10002:2018|الملحق G</v>
      </c>
      <c r="V110" s="11" t="str">
        <f>IF($T110="حرجة",COUNTIF($T$4:$T110,"حرجة"),"")</f>
        <v/>
      </c>
    </row>
    <row r="111" spans="1:22" ht="40" customHeight="1" x14ac:dyDescent="0.3">
      <c r="A111" s="11">
        <v>108</v>
      </c>
      <c r="B111" s="10" t="s">
        <v>12</v>
      </c>
      <c r="C111" s="11" t="s">
        <v>408</v>
      </c>
      <c r="D111" s="12" t="s">
        <v>524</v>
      </c>
      <c r="E111" s="13" t="s">
        <v>525</v>
      </c>
      <c r="F111" s="10" t="s">
        <v>375</v>
      </c>
      <c r="G111" s="13" t="s">
        <v>526</v>
      </c>
      <c r="H111" s="14" t="s">
        <v>527</v>
      </c>
      <c r="I111" s="11" t="s">
        <v>75</v>
      </c>
      <c r="J111" s="11" t="s">
        <v>62</v>
      </c>
      <c r="K111" s="15">
        <f t="shared" si="15"/>
        <v>100</v>
      </c>
      <c r="L111" s="13" t="s">
        <v>167</v>
      </c>
      <c r="M111" s="11" t="s">
        <v>66</v>
      </c>
      <c r="N111" s="10" t="s">
        <v>102</v>
      </c>
      <c r="O111" s="13" t="s">
        <v>168</v>
      </c>
      <c r="P111" s="11" t="s">
        <v>69</v>
      </c>
      <c r="Q111" s="16">
        <v>46176</v>
      </c>
      <c r="R111" s="15" t="str">
        <f t="shared" si="16"/>
        <v>لا</v>
      </c>
      <c r="S111" s="17" t="str">
        <f t="shared" si="17"/>
        <v>—</v>
      </c>
      <c r="T111" s="15" t="str">
        <f t="shared" si="18"/>
        <v>—</v>
      </c>
      <c r="U111" s="11" t="str">
        <f t="shared" si="19"/>
        <v>ISO 10002:2018|الملحق H</v>
      </c>
      <c r="V111" s="11" t="str">
        <f>IF($T111="حرجة",COUNTIF($T$4:$T111,"حرجة"),"")</f>
        <v/>
      </c>
    </row>
    <row r="112" spans="1:22" ht="40" customHeight="1" x14ac:dyDescent="0.3">
      <c r="A112" s="11">
        <v>109</v>
      </c>
      <c r="B112" s="10" t="s">
        <v>12</v>
      </c>
      <c r="C112" s="11" t="s">
        <v>413</v>
      </c>
      <c r="D112" s="12" t="s">
        <v>528</v>
      </c>
      <c r="E112" s="13" t="s">
        <v>529</v>
      </c>
      <c r="F112" s="10" t="s">
        <v>375</v>
      </c>
      <c r="G112" s="13" t="s">
        <v>530</v>
      </c>
      <c r="H112" s="14" t="s">
        <v>531</v>
      </c>
      <c r="I112" s="11" t="s">
        <v>75</v>
      </c>
      <c r="J112" s="11" t="s">
        <v>73</v>
      </c>
      <c r="K112" s="15">
        <f t="shared" si="15"/>
        <v>50</v>
      </c>
      <c r="L112" s="13" t="s">
        <v>216</v>
      </c>
      <c r="M112" s="11" t="s">
        <v>66</v>
      </c>
      <c r="N112" s="10" t="s">
        <v>84</v>
      </c>
      <c r="O112" s="13" t="s">
        <v>394</v>
      </c>
      <c r="P112" s="11" t="s">
        <v>79</v>
      </c>
      <c r="Q112" s="16">
        <v>46179</v>
      </c>
      <c r="R112" s="15" t="str">
        <f t="shared" si="16"/>
        <v>نعم</v>
      </c>
      <c r="S112" s="17" t="str">
        <f t="shared" si="17"/>
        <v>تحليل فجوة + تدقيق</v>
      </c>
      <c r="T112" s="15" t="str">
        <f t="shared" si="18"/>
        <v>عالية</v>
      </c>
      <c r="U112" s="11" t="str">
        <f t="shared" si="19"/>
        <v>ISO 10002:2018|الملحق I</v>
      </c>
      <c r="V112" s="11" t="str">
        <f>IF($T112="حرجة",COUNTIF($T$4:$T112,"حرجة"),"")</f>
        <v/>
      </c>
    </row>
    <row r="113" spans="1:22" ht="40" customHeight="1" x14ac:dyDescent="0.3">
      <c r="A113" s="11">
        <v>110</v>
      </c>
      <c r="B113" s="10" t="s">
        <v>12</v>
      </c>
      <c r="C113" s="11" t="s">
        <v>532</v>
      </c>
      <c r="D113" s="12" t="s">
        <v>497</v>
      </c>
      <c r="E113" s="13" t="s">
        <v>533</v>
      </c>
      <c r="F113" s="10" t="s">
        <v>375</v>
      </c>
      <c r="G113" s="13" t="s">
        <v>534</v>
      </c>
      <c r="H113" s="14" t="s">
        <v>535</v>
      </c>
      <c r="I113" s="11" t="s">
        <v>85</v>
      </c>
      <c r="J113" s="11" t="s">
        <v>83</v>
      </c>
      <c r="K113" s="15">
        <f t="shared" si="15"/>
        <v>0</v>
      </c>
      <c r="L113" s="13" t="s">
        <v>383</v>
      </c>
      <c r="M113" s="11" t="s">
        <v>109</v>
      </c>
      <c r="N113" s="10" t="s">
        <v>94</v>
      </c>
      <c r="O113" s="13" t="s">
        <v>366</v>
      </c>
      <c r="P113" s="11" t="s">
        <v>89</v>
      </c>
      <c r="Q113" s="16">
        <v>46182</v>
      </c>
      <c r="R113" s="15" t="str">
        <f t="shared" si="16"/>
        <v>نعم</v>
      </c>
      <c r="S113" s="17" t="str">
        <f t="shared" si="17"/>
        <v>تحليل فجوة</v>
      </c>
      <c r="T113" s="15" t="str">
        <f t="shared" si="18"/>
        <v>منخفضة</v>
      </c>
      <c r="U113" s="11" t="str">
        <f t="shared" si="19"/>
        <v>ISO 10002:2018|الملحق J</v>
      </c>
      <c r="V113" s="11" t="str">
        <f>IF($T113="حرجة",COUNTIF($T$4:$T113,"حرجة"),"")</f>
        <v/>
      </c>
    </row>
    <row r="114" spans="1:22" ht="40" customHeight="1" x14ac:dyDescent="0.3">
      <c r="A114" s="11">
        <v>111</v>
      </c>
      <c r="B114" s="10" t="s">
        <v>14</v>
      </c>
      <c r="C114" s="11" t="s">
        <v>144</v>
      </c>
      <c r="D114" s="12" t="s">
        <v>145</v>
      </c>
      <c r="E114" s="13" t="s">
        <v>146</v>
      </c>
      <c r="F114" s="10" t="s">
        <v>147</v>
      </c>
      <c r="G114" s="13" t="s">
        <v>148</v>
      </c>
      <c r="H114" s="14" t="s">
        <v>536</v>
      </c>
      <c r="I114" s="11" t="s">
        <v>75</v>
      </c>
      <c r="J114" s="11" t="s">
        <v>93</v>
      </c>
      <c r="K114" s="15" t="str">
        <f t="shared" si="15"/>
        <v/>
      </c>
      <c r="L114" s="13" t="s">
        <v>149</v>
      </c>
      <c r="M114" s="11" t="s">
        <v>66</v>
      </c>
      <c r="N114" s="10" t="s">
        <v>108</v>
      </c>
      <c r="O114" s="13" t="s">
        <v>150</v>
      </c>
      <c r="P114" s="11" t="s">
        <v>98</v>
      </c>
      <c r="Q114" s="16">
        <v>46185</v>
      </c>
      <c r="R114" s="15" t="str">
        <f t="shared" si="16"/>
        <v>لا</v>
      </c>
      <c r="S114" s="17" t="str">
        <f t="shared" si="17"/>
        <v>—</v>
      </c>
      <c r="T114" s="15" t="str">
        <f t="shared" si="18"/>
        <v>—</v>
      </c>
      <c r="U114" s="11" t="str">
        <f t="shared" si="19"/>
        <v>ISO 10004:2018|1</v>
      </c>
      <c r="V114" s="11" t="str">
        <f>IF($T114="حرجة",COUNTIF($T$4:$T114,"حرجة"),"")</f>
        <v/>
      </c>
    </row>
    <row r="115" spans="1:22" ht="40" customHeight="1" x14ac:dyDescent="0.3">
      <c r="A115" s="11">
        <v>112</v>
      </c>
      <c r="B115" s="10" t="s">
        <v>14</v>
      </c>
      <c r="C115" s="11" t="s">
        <v>151</v>
      </c>
      <c r="D115" s="12" t="s">
        <v>152</v>
      </c>
      <c r="E115" s="13" t="s">
        <v>153</v>
      </c>
      <c r="F115" s="10" t="s">
        <v>147</v>
      </c>
      <c r="G115" s="13" t="s">
        <v>148</v>
      </c>
      <c r="H115" s="14" t="s">
        <v>536</v>
      </c>
      <c r="I115" s="11" t="s">
        <v>75</v>
      </c>
      <c r="J115" s="11" t="s">
        <v>93</v>
      </c>
      <c r="K115" s="15" t="str">
        <f t="shared" si="15"/>
        <v/>
      </c>
      <c r="L115" s="13" t="s">
        <v>149</v>
      </c>
      <c r="M115" s="11" t="s">
        <v>66</v>
      </c>
      <c r="N115" s="10" t="s">
        <v>108</v>
      </c>
      <c r="O115" s="13" t="s">
        <v>150</v>
      </c>
      <c r="P115" s="11" t="s">
        <v>69</v>
      </c>
      <c r="Q115" s="16">
        <v>46188</v>
      </c>
      <c r="R115" s="15" t="str">
        <f t="shared" si="16"/>
        <v>لا</v>
      </c>
      <c r="S115" s="17" t="str">
        <f t="shared" si="17"/>
        <v>—</v>
      </c>
      <c r="T115" s="15" t="str">
        <f t="shared" si="18"/>
        <v>—</v>
      </c>
      <c r="U115" s="11" t="str">
        <f t="shared" si="19"/>
        <v>ISO 10004:2018|2</v>
      </c>
      <c r="V115" s="11" t="str">
        <f>IF($T115="حرجة",COUNTIF($T$4:$T115,"حرجة"),"")</f>
        <v/>
      </c>
    </row>
    <row r="116" spans="1:22" ht="40" customHeight="1" x14ac:dyDescent="0.3">
      <c r="A116" s="11">
        <v>113</v>
      </c>
      <c r="B116" s="10" t="s">
        <v>14</v>
      </c>
      <c r="C116" s="11" t="s">
        <v>154</v>
      </c>
      <c r="D116" s="12" t="s">
        <v>155</v>
      </c>
      <c r="E116" s="13" t="s">
        <v>156</v>
      </c>
      <c r="F116" s="10" t="s">
        <v>157</v>
      </c>
      <c r="G116" s="13" t="s">
        <v>158</v>
      </c>
      <c r="H116" s="14" t="s">
        <v>159</v>
      </c>
      <c r="I116" s="11" t="s">
        <v>75</v>
      </c>
      <c r="J116" s="11" t="s">
        <v>83</v>
      </c>
      <c r="K116" s="15">
        <f t="shared" si="15"/>
        <v>0</v>
      </c>
      <c r="L116" s="13" t="s">
        <v>189</v>
      </c>
      <c r="M116" s="11" t="s">
        <v>109</v>
      </c>
      <c r="N116" s="10" t="s">
        <v>94</v>
      </c>
      <c r="O116" s="13" t="s">
        <v>420</v>
      </c>
      <c r="P116" s="11" t="s">
        <v>79</v>
      </c>
      <c r="Q116" s="16">
        <v>46191</v>
      </c>
      <c r="R116" s="15" t="str">
        <f t="shared" si="16"/>
        <v>نعم</v>
      </c>
      <c r="S116" s="17" t="str">
        <f t="shared" si="17"/>
        <v>تحليل فجوة</v>
      </c>
      <c r="T116" s="15" t="str">
        <f t="shared" si="18"/>
        <v>عالية</v>
      </c>
      <c r="U116" s="11" t="str">
        <f t="shared" si="19"/>
        <v>ISO 10004:2018|3</v>
      </c>
      <c r="V116" s="11" t="str">
        <f>IF($T116="حرجة",COUNTIF($T$4:$T116,"حرجة"),"")</f>
        <v/>
      </c>
    </row>
    <row r="117" spans="1:22" ht="40" customHeight="1" x14ac:dyDescent="0.3">
      <c r="A117" s="11">
        <v>114</v>
      </c>
      <c r="B117" s="10" t="s">
        <v>14</v>
      </c>
      <c r="C117" s="11" t="s">
        <v>237</v>
      </c>
      <c r="D117" s="12" t="s">
        <v>537</v>
      </c>
      <c r="E117" s="13" t="s">
        <v>239</v>
      </c>
      <c r="F117" s="10" t="s">
        <v>180</v>
      </c>
      <c r="G117" s="13" t="s">
        <v>538</v>
      </c>
      <c r="H117" s="14" t="s">
        <v>536</v>
      </c>
      <c r="I117" s="11" t="s">
        <v>64</v>
      </c>
      <c r="J117" s="11" t="s">
        <v>62</v>
      </c>
      <c r="K117" s="15">
        <f t="shared" si="15"/>
        <v>100</v>
      </c>
      <c r="L117" s="13" t="s">
        <v>241</v>
      </c>
      <c r="M117" s="11" t="s">
        <v>95</v>
      </c>
      <c r="N117" s="10" t="s">
        <v>63</v>
      </c>
      <c r="O117" s="13" t="s">
        <v>161</v>
      </c>
      <c r="P117" s="11" t="s">
        <v>89</v>
      </c>
      <c r="Q117" s="16">
        <v>46194</v>
      </c>
      <c r="R117" s="15" t="str">
        <f t="shared" si="16"/>
        <v>لا</v>
      </c>
      <c r="S117" s="17" t="str">
        <f t="shared" si="17"/>
        <v>—</v>
      </c>
      <c r="T117" s="15" t="str">
        <f t="shared" si="18"/>
        <v>—</v>
      </c>
      <c r="U117" s="11" t="str">
        <f t="shared" si="19"/>
        <v>ISO 10004:2018|4.1</v>
      </c>
      <c r="V117" s="11" t="str">
        <f>IF($T117="حرجة",COUNTIF($T$4:$T117,"حرجة"),"")</f>
        <v/>
      </c>
    </row>
    <row r="118" spans="1:22" ht="40" customHeight="1" x14ac:dyDescent="0.3">
      <c r="A118" s="11">
        <v>115</v>
      </c>
      <c r="B118" s="10" t="s">
        <v>14</v>
      </c>
      <c r="C118" s="11" t="s">
        <v>242</v>
      </c>
      <c r="D118" s="12" t="s">
        <v>539</v>
      </c>
      <c r="E118" s="13" t="s">
        <v>540</v>
      </c>
      <c r="F118" s="10" t="s">
        <v>139</v>
      </c>
      <c r="G118" s="13" t="s">
        <v>541</v>
      </c>
      <c r="H118" s="14" t="s">
        <v>536</v>
      </c>
      <c r="I118" s="11" t="s">
        <v>75</v>
      </c>
      <c r="J118" s="11" t="s">
        <v>62</v>
      </c>
      <c r="K118" s="15">
        <f t="shared" si="15"/>
        <v>100</v>
      </c>
      <c r="L118" s="13" t="s">
        <v>182</v>
      </c>
      <c r="M118" s="11" t="s">
        <v>66</v>
      </c>
      <c r="N118" s="10" t="s">
        <v>63</v>
      </c>
      <c r="O118" s="13" t="s">
        <v>161</v>
      </c>
      <c r="P118" s="11" t="s">
        <v>98</v>
      </c>
      <c r="Q118" s="16">
        <v>46197</v>
      </c>
      <c r="R118" s="15" t="str">
        <f t="shared" si="16"/>
        <v>لا</v>
      </c>
      <c r="S118" s="17" t="str">
        <f t="shared" si="17"/>
        <v>—</v>
      </c>
      <c r="T118" s="15" t="str">
        <f t="shared" si="18"/>
        <v>—</v>
      </c>
      <c r="U118" s="11" t="str">
        <f t="shared" si="19"/>
        <v>ISO 10004:2018|4.2</v>
      </c>
      <c r="V118" s="11" t="str">
        <f>IF($T118="حرجة",COUNTIF($T$4:$T118,"حرجة"),"")</f>
        <v/>
      </c>
    </row>
    <row r="119" spans="1:22" ht="40" customHeight="1" x14ac:dyDescent="0.3">
      <c r="A119" s="11">
        <v>116</v>
      </c>
      <c r="B119" s="10" t="s">
        <v>14</v>
      </c>
      <c r="C119" s="11" t="s">
        <v>542</v>
      </c>
      <c r="D119" s="12" t="s">
        <v>243</v>
      </c>
      <c r="E119" s="13" t="s">
        <v>244</v>
      </c>
      <c r="F119" s="10" t="s">
        <v>172</v>
      </c>
      <c r="G119" s="13" t="s">
        <v>245</v>
      </c>
      <c r="H119" s="14" t="s">
        <v>174</v>
      </c>
      <c r="I119" s="11" t="s">
        <v>64</v>
      </c>
      <c r="J119" s="11" t="s">
        <v>73</v>
      </c>
      <c r="K119" s="15">
        <f t="shared" si="15"/>
        <v>50</v>
      </c>
      <c r="L119" s="13" t="s">
        <v>175</v>
      </c>
      <c r="M119" s="11" t="s">
        <v>86</v>
      </c>
      <c r="N119" s="10" t="s">
        <v>84</v>
      </c>
      <c r="O119" s="13" t="s">
        <v>217</v>
      </c>
      <c r="P119" s="11" t="s">
        <v>69</v>
      </c>
      <c r="Q119" s="16">
        <v>46200</v>
      </c>
      <c r="R119" s="15" t="str">
        <f t="shared" si="16"/>
        <v>نعم</v>
      </c>
      <c r="S119" s="17" t="str">
        <f t="shared" si="17"/>
        <v>تحليل فجوة + تدقيق</v>
      </c>
      <c r="T119" s="15" t="str">
        <f t="shared" si="18"/>
        <v>عالية</v>
      </c>
      <c r="U119" s="11" t="str">
        <f t="shared" si="19"/>
        <v>ISO 10004:2018|4.3.1</v>
      </c>
      <c r="V119" s="11" t="str">
        <f>IF($T119="حرجة",COUNTIF($T$4:$T119,"حرجة"),"")</f>
        <v/>
      </c>
    </row>
    <row r="120" spans="1:22" ht="40" customHeight="1" x14ac:dyDescent="0.3">
      <c r="A120" s="11">
        <v>117</v>
      </c>
      <c r="B120" s="10" t="s">
        <v>14</v>
      </c>
      <c r="C120" s="11" t="s">
        <v>543</v>
      </c>
      <c r="D120" s="12" t="s">
        <v>247</v>
      </c>
      <c r="E120" s="13" t="s">
        <v>248</v>
      </c>
      <c r="F120" s="10" t="s">
        <v>172</v>
      </c>
      <c r="G120" s="13" t="s">
        <v>249</v>
      </c>
      <c r="H120" s="14" t="s">
        <v>174</v>
      </c>
      <c r="I120" s="11" t="s">
        <v>64</v>
      </c>
      <c r="J120" s="11" t="s">
        <v>62</v>
      </c>
      <c r="K120" s="15">
        <f t="shared" si="15"/>
        <v>100</v>
      </c>
      <c r="L120" s="13" t="s">
        <v>167</v>
      </c>
      <c r="M120" s="11" t="s">
        <v>95</v>
      </c>
      <c r="N120" s="10" t="s">
        <v>63</v>
      </c>
      <c r="O120" s="13" t="s">
        <v>161</v>
      </c>
      <c r="P120" s="11" t="s">
        <v>79</v>
      </c>
      <c r="Q120" s="16">
        <v>46203</v>
      </c>
      <c r="R120" s="15" t="str">
        <f t="shared" si="16"/>
        <v>لا</v>
      </c>
      <c r="S120" s="17" t="str">
        <f t="shared" si="17"/>
        <v>—</v>
      </c>
      <c r="T120" s="15" t="str">
        <f t="shared" si="18"/>
        <v>—</v>
      </c>
      <c r="U120" s="11" t="str">
        <f t="shared" si="19"/>
        <v>ISO 10004:2018|4.3.2</v>
      </c>
      <c r="V120" s="11" t="str">
        <f>IF($T120="حرجة",COUNTIF($T$4:$T120,"حرجة"),"")</f>
        <v/>
      </c>
    </row>
    <row r="121" spans="1:22" ht="40" customHeight="1" x14ac:dyDescent="0.3">
      <c r="A121" s="11">
        <v>118</v>
      </c>
      <c r="B121" s="10" t="s">
        <v>14</v>
      </c>
      <c r="C121" s="11" t="s">
        <v>544</v>
      </c>
      <c r="D121" s="12" t="s">
        <v>251</v>
      </c>
      <c r="E121" s="13" t="s">
        <v>252</v>
      </c>
      <c r="F121" s="10" t="s">
        <v>172</v>
      </c>
      <c r="G121" s="13" t="s">
        <v>253</v>
      </c>
      <c r="H121" s="14" t="s">
        <v>174</v>
      </c>
      <c r="I121" s="11" t="s">
        <v>64</v>
      </c>
      <c r="J121" s="11" t="s">
        <v>83</v>
      </c>
      <c r="K121" s="15">
        <f t="shared" si="15"/>
        <v>0</v>
      </c>
      <c r="L121" s="13" t="s">
        <v>263</v>
      </c>
      <c r="M121" s="11" t="s">
        <v>109</v>
      </c>
      <c r="N121" s="10" t="s">
        <v>94</v>
      </c>
      <c r="O121" s="13" t="s">
        <v>190</v>
      </c>
      <c r="P121" s="11" t="s">
        <v>89</v>
      </c>
      <c r="Q121" s="16">
        <v>46206</v>
      </c>
      <c r="R121" s="15" t="str">
        <f t="shared" si="16"/>
        <v>نعم</v>
      </c>
      <c r="S121" s="17" t="str">
        <f t="shared" si="17"/>
        <v>تحليل فجوة</v>
      </c>
      <c r="T121" s="15" t="str">
        <f t="shared" si="18"/>
        <v>حرجة</v>
      </c>
      <c r="U121" s="11" t="str">
        <f t="shared" si="19"/>
        <v>ISO 10004:2018|4.3.3</v>
      </c>
      <c r="V121" s="11">
        <f>IF($T121="حرجة",COUNTIF($T$4:$T121,"حرجة"),"")</f>
        <v>12</v>
      </c>
    </row>
    <row r="122" spans="1:22" ht="40" customHeight="1" x14ac:dyDescent="0.3">
      <c r="A122" s="11">
        <v>119</v>
      </c>
      <c r="B122" s="10" t="s">
        <v>14</v>
      </c>
      <c r="C122" s="11" t="s">
        <v>545</v>
      </c>
      <c r="D122" s="12" t="s">
        <v>256</v>
      </c>
      <c r="E122" s="13" t="s">
        <v>257</v>
      </c>
      <c r="F122" s="10" t="s">
        <v>172</v>
      </c>
      <c r="G122" s="13" t="s">
        <v>258</v>
      </c>
      <c r="H122" s="14" t="s">
        <v>174</v>
      </c>
      <c r="I122" s="11" t="s">
        <v>75</v>
      </c>
      <c r="J122" s="11" t="s">
        <v>83</v>
      </c>
      <c r="K122" s="15">
        <f t="shared" si="15"/>
        <v>0</v>
      </c>
      <c r="L122" s="13" t="s">
        <v>383</v>
      </c>
      <c r="M122" s="11" t="s">
        <v>109</v>
      </c>
      <c r="N122" s="10" t="s">
        <v>84</v>
      </c>
      <c r="O122" s="13" t="s">
        <v>210</v>
      </c>
      <c r="P122" s="11" t="s">
        <v>98</v>
      </c>
      <c r="Q122" s="16">
        <v>46209</v>
      </c>
      <c r="R122" s="15" t="str">
        <f t="shared" si="16"/>
        <v>نعم</v>
      </c>
      <c r="S122" s="17" t="str">
        <f t="shared" si="17"/>
        <v>تحليل فجوة + تدقيق</v>
      </c>
      <c r="T122" s="15" t="str">
        <f t="shared" si="18"/>
        <v>عالية</v>
      </c>
      <c r="U122" s="11" t="str">
        <f t="shared" si="19"/>
        <v>ISO 10004:2018|4.3.4</v>
      </c>
      <c r="V122" s="11" t="str">
        <f>IF($T122="حرجة",COUNTIF($T$4:$T122,"حرجة"),"")</f>
        <v/>
      </c>
    </row>
    <row r="123" spans="1:22" ht="40" customHeight="1" x14ac:dyDescent="0.3">
      <c r="A123" s="11">
        <v>120</v>
      </c>
      <c r="B123" s="10" t="s">
        <v>14</v>
      </c>
      <c r="C123" s="11" t="s">
        <v>546</v>
      </c>
      <c r="D123" s="12" t="s">
        <v>260</v>
      </c>
      <c r="E123" s="13" t="s">
        <v>261</v>
      </c>
      <c r="F123" s="10" t="s">
        <v>172</v>
      </c>
      <c r="G123" s="13" t="s">
        <v>262</v>
      </c>
      <c r="H123" s="14" t="s">
        <v>174</v>
      </c>
      <c r="I123" s="11" t="s">
        <v>85</v>
      </c>
      <c r="J123" s="11" t="s">
        <v>62</v>
      </c>
      <c r="K123" s="15">
        <f t="shared" si="15"/>
        <v>100</v>
      </c>
      <c r="L123" s="13" t="s">
        <v>160</v>
      </c>
      <c r="M123" s="11" t="s">
        <v>66</v>
      </c>
      <c r="N123" s="10" t="s">
        <v>63</v>
      </c>
      <c r="O123" s="13" t="s">
        <v>161</v>
      </c>
      <c r="P123" s="11" t="s">
        <v>69</v>
      </c>
      <c r="Q123" s="16">
        <v>46212</v>
      </c>
      <c r="R123" s="15" t="str">
        <f t="shared" si="16"/>
        <v>لا</v>
      </c>
      <c r="S123" s="17" t="str">
        <f t="shared" si="17"/>
        <v>—</v>
      </c>
      <c r="T123" s="15" t="str">
        <f t="shared" si="18"/>
        <v>—</v>
      </c>
      <c r="U123" s="11" t="str">
        <f t="shared" si="19"/>
        <v>ISO 10004:2018|4.3.5</v>
      </c>
      <c r="V123" s="11" t="str">
        <f>IF($T123="حرجة",COUNTIF($T$4:$T123,"حرجة"),"")</f>
        <v/>
      </c>
    </row>
    <row r="124" spans="1:22" ht="40" customHeight="1" x14ac:dyDescent="0.3">
      <c r="A124" s="11">
        <v>121</v>
      </c>
      <c r="B124" s="10" t="s">
        <v>14</v>
      </c>
      <c r="C124" s="11" t="s">
        <v>547</v>
      </c>
      <c r="D124" s="12" t="s">
        <v>265</v>
      </c>
      <c r="E124" s="13" t="s">
        <v>266</v>
      </c>
      <c r="F124" s="10" t="s">
        <v>172</v>
      </c>
      <c r="G124" s="13" t="s">
        <v>267</v>
      </c>
      <c r="H124" s="14" t="s">
        <v>174</v>
      </c>
      <c r="I124" s="11" t="s">
        <v>64</v>
      </c>
      <c r="J124" s="11" t="s">
        <v>62</v>
      </c>
      <c r="K124" s="15">
        <f t="shared" si="15"/>
        <v>100</v>
      </c>
      <c r="L124" s="13" t="s">
        <v>182</v>
      </c>
      <c r="M124" s="11" t="s">
        <v>103</v>
      </c>
      <c r="N124" s="10" t="s">
        <v>63</v>
      </c>
      <c r="O124" s="13" t="s">
        <v>161</v>
      </c>
      <c r="P124" s="11" t="s">
        <v>79</v>
      </c>
      <c r="Q124" s="16">
        <v>46215</v>
      </c>
      <c r="R124" s="15" t="str">
        <f t="shared" si="16"/>
        <v>لا</v>
      </c>
      <c r="S124" s="17" t="str">
        <f t="shared" si="17"/>
        <v>—</v>
      </c>
      <c r="T124" s="15" t="str">
        <f t="shared" si="18"/>
        <v>—</v>
      </c>
      <c r="U124" s="11" t="str">
        <f t="shared" si="19"/>
        <v>ISO 10004:2018|4.3.6</v>
      </c>
      <c r="V124" s="11" t="str">
        <f>IF($T124="حرجة",COUNTIF($T$4:$T124,"حرجة"),"")</f>
        <v/>
      </c>
    </row>
    <row r="125" spans="1:22" ht="40" customHeight="1" x14ac:dyDescent="0.3">
      <c r="A125" s="11">
        <v>122</v>
      </c>
      <c r="B125" s="10" t="s">
        <v>14</v>
      </c>
      <c r="C125" s="11" t="s">
        <v>548</v>
      </c>
      <c r="D125" s="12" t="s">
        <v>269</v>
      </c>
      <c r="E125" s="13" t="s">
        <v>270</v>
      </c>
      <c r="F125" s="10" t="s">
        <v>172</v>
      </c>
      <c r="G125" s="13" t="s">
        <v>271</v>
      </c>
      <c r="H125" s="14" t="s">
        <v>174</v>
      </c>
      <c r="I125" s="11" t="s">
        <v>64</v>
      </c>
      <c r="J125" s="11" t="s">
        <v>62</v>
      </c>
      <c r="K125" s="15">
        <f t="shared" si="15"/>
        <v>100</v>
      </c>
      <c r="L125" s="13" t="s">
        <v>182</v>
      </c>
      <c r="M125" s="11" t="s">
        <v>103</v>
      </c>
      <c r="N125" s="10" t="s">
        <v>63</v>
      </c>
      <c r="O125" s="13" t="s">
        <v>161</v>
      </c>
      <c r="P125" s="11" t="s">
        <v>89</v>
      </c>
      <c r="Q125" s="16">
        <v>46218</v>
      </c>
      <c r="R125" s="15" t="str">
        <f t="shared" si="16"/>
        <v>لا</v>
      </c>
      <c r="S125" s="17" t="str">
        <f t="shared" si="17"/>
        <v>—</v>
      </c>
      <c r="T125" s="15" t="str">
        <f t="shared" si="18"/>
        <v>—</v>
      </c>
      <c r="U125" s="11" t="str">
        <f t="shared" si="19"/>
        <v>ISO 10004:2018|4.3.7</v>
      </c>
      <c r="V125" s="11" t="str">
        <f>IF($T125="حرجة",COUNTIF($T$4:$T125,"حرجة"),"")</f>
        <v/>
      </c>
    </row>
    <row r="126" spans="1:22" ht="40" customHeight="1" x14ac:dyDescent="0.3">
      <c r="A126" s="11">
        <v>123</v>
      </c>
      <c r="B126" s="10" t="s">
        <v>14</v>
      </c>
      <c r="C126" s="11" t="s">
        <v>549</v>
      </c>
      <c r="D126" s="12" t="s">
        <v>273</v>
      </c>
      <c r="E126" s="13" t="s">
        <v>274</v>
      </c>
      <c r="F126" s="10" t="s">
        <v>172</v>
      </c>
      <c r="G126" s="13" t="s">
        <v>275</v>
      </c>
      <c r="H126" s="14" t="s">
        <v>174</v>
      </c>
      <c r="I126" s="11" t="s">
        <v>75</v>
      </c>
      <c r="J126" s="11" t="s">
        <v>62</v>
      </c>
      <c r="K126" s="15">
        <f t="shared" si="15"/>
        <v>100</v>
      </c>
      <c r="L126" s="13" t="s">
        <v>182</v>
      </c>
      <c r="M126" s="11" t="s">
        <v>95</v>
      </c>
      <c r="N126" s="10" t="s">
        <v>63</v>
      </c>
      <c r="O126" s="13" t="s">
        <v>161</v>
      </c>
      <c r="P126" s="11" t="s">
        <v>98</v>
      </c>
      <c r="Q126" s="16">
        <v>46175</v>
      </c>
      <c r="R126" s="15" t="str">
        <f t="shared" si="16"/>
        <v>لا</v>
      </c>
      <c r="S126" s="17" t="str">
        <f t="shared" si="17"/>
        <v>—</v>
      </c>
      <c r="T126" s="15" t="str">
        <f t="shared" si="18"/>
        <v>—</v>
      </c>
      <c r="U126" s="11" t="str">
        <f t="shared" si="19"/>
        <v>ISO 10004:2018|4.3.8</v>
      </c>
      <c r="V126" s="11" t="str">
        <f>IF($T126="حرجة",COUNTIF($T$4:$T126,"حرجة"),"")</f>
        <v/>
      </c>
    </row>
    <row r="127" spans="1:22" ht="40" customHeight="1" x14ac:dyDescent="0.3">
      <c r="A127" s="11">
        <v>124</v>
      </c>
      <c r="B127" s="10" t="s">
        <v>14</v>
      </c>
      <c r="C127" s="11" t="s">
        <v>550</v>
      </c>
      <c r="D127" s="12" t="s">
        <v>277</v>
      </c>
      <c r="E127" s="13" t="s">
        <v>278</v>
      </c>
      <c r="F127" s="10" t="s">
        <v>172</v>
      </c>
      <c r="G127" s="13" t="s">
        <v>279</v>
      </c>
      <c r="H127" s="14" t="s">
        <v>174</v>
      </c>
      <c r="I127" s="11" t="s">
        <v>75</v>
      </c>
      <c r="J127" s="11" t="s">
        <v>83</v>
      </c>
      <c r="K127" s="15">
        <f t="shared" si="15"/>
        <v>0</v>
      </c>
      <c r="L127" s="13" t="s">
        <v>280</v>
      </c>
      <c r="M127" s="11" t="s">
        <v>109</v>
      </c>
      <c r="N127" s="10" t="s">
        <v>94</v>
      </c>
      <c r="O127" s="13" t="s">
        <v>366</v>
      </c>
      <c r="P127" s="11" t="s">
        <v>69</v>
      </c>
      <c r="Q127" s="16">
        <v>46178</v>
      </c>
      <c r="R127" s="15" t="str">
        <f t="shared" si="16"/>
        <v>نعم</v>
      </c>
      <c r="S127" s="17" t="str">
        <f t="shared" si="17"/>
        <v>تحليل فجوة</v>
      </c>
      <c r="T127" s="15" t="str">
        <f t="shared" si="18"/>
        <v>عالية</v>
      </c>
      <c r="U127" s="11" t="str">
        <f t="shared" si="19"/>
        <v>ISO 10004:2018|4.3.9</v>
      </c>
      <c r="V127" s="11" t="str">
        <f>IF($T127="حرجة",COUNTIF($T$4:$T127,"حرجة"),"")</f>
        <v/>
      </c>
    </row>
    <row r="128" spans="1:22" ht="40" customHeight="1" x14ac:dyDescent="0.3">
      <c r="A128" s="11">
        <v>125</v>
      </c>
      <c r="B128" s="10" t="s">
        <v>14</v>
      </c>
      <c r="C128" s="11" t="s">
        <v>551</v>
      </c>
      <c r="D128" s="12" t="s">
        <v>283</v>
      </c>
      <c r="E128" s="13" t="s">
        <v>284</v>
      </c>
      <c r="F128" s="10" t="s">
        <v>172</v>
      </c>
      <c r="G128" s="13" t="s">
        <v>285</v>
      </c>
      <c r="H128" s="14" t="s">
        <v>174</v>
      </c>
      <c r="I128" s="11" t="s">
        <v>64</v>
      </c>
      <c r="J128" s="11" t="s">
        <v>62</v>
      </c>
      <c r="K128" s="15">
        <f t="shared" si="15"/>
        <v>100</v>
      </c>
      <c r="L128" s="13" t="s">
        <v>241</v>
      </c>
      <c r="M128" s="11" t="s">
        <v>76</v>
      </c>
      <c r="N128" s="10" t="s">
        <v>63</v>
      </c>
      <c r="O128" s="13" t="s">
        <v>161</v>
      </c>
      <c r="P128" s="11" t="s">
        <v>79</v>
      </c>
      <c r="Q128" s="16">
        <v>46181</v>
      </c>
      <c r="R128" s="15" t="str">
        <f t="shared" si="16"/>
        <v>لا</v>
      </c>
      <c r="S128" s="17" t="str">
        <f t="shared" si="17"/>
        <v>—</v>
      </c>
      <c r="T128" s="15" t="str">
        <f t="shared" si="18"/>
        <v>—</v>
      </c>
      <c r="U128" s="11" t="str">
        <f t="shared" si="19"/>
        <v>ISO 10004:2018|4.3.10</v>
      </c>
      <c r="V128" s="11" t="str">
        <f>IF($T128="حرجة",COUNTIF($T$4:$T128,"حرجة"),"")</f>
        <v/>
      </c>
    </row>
    <row r="129" spans="1:22" ht="40" customHeight="1" x14ac:dyDescent="0.3">
      <c r="A129" s="11">
        <v>126</v>
      </c>
      <c r="B129" s="10" t="s">
        <v>14</v>
      </c>
      <c r="C129" s="11" t="s">
        <v>552</v>
      </c>
      <c r="D129" s="12" t="s">
        <v>287</v>
      </c>
      <c r="E129" s="13" t="s">
        <v>288</v>
      </c>
      <c r="F129" s="10" t="s">
        <v>172</v>
      </c>
      <c r="G129" s="13" t="s">
        <v>289</v>
      </c>
      <c r="H129" s="14" t="s">
        <v>174</v>
      </c>
      <c r="I129" s="11" t="s">
        <v>75</v>
      </c>
      <c r="J129" s="11" t="s">
        <v>62</v>
      </c>
      <c r="K129" s="15">
        <f t="shared" si="15"/>
        <v>100</v>
      </c>
      <c r="L129" s="13" t="s">
        <v>167</v>
      </c>
      <c r="M129" s="11" t="s">
        <v>66</v>
      </c>
      <c r="N129" s="10" t="s">
        <v>102</v>
      </c>
      <c r="O129" s="13" t="s">
        <v>168</v>
      </c>
      <c r="P129" s="11" t="s">
        <v>89</v>
      </c>
      <c r="Q129" s="16">
        <v>46184</v>
      </c>
      <c r="R129" s="15" t="str">
        <f t="shared" si="16"/>
        <v>لا</v>
      </c>
      <c r="S129" s="17" t="str">
        <f t="shared" si="17"/>
        <v>—</v>
      </c>
      <c r="T129" s="15" t="str">
        <f t="shared" si="18"/>
        <v>—</v>
      </c>
      <c r="U129" s="11" t="str">
        <f t="shared" si="19"/>
        <v>ISO 10004:2018|4.3.11</v>
      </c>
      <c r="V129" s="11" t="str">
        <f>IF($T129="حرجة",COUNTIF($T$4:$T129,"حرجة"),"")</f>
        <v/>
      </c>
    </row>
    <row r="130" spans="1:22" ht="40" customHeight="1" x14ac:dyDescent="0.3">
      <c r="A130" s="11">
        <v>127</v>
      </c>
      <c r="B130" s="10" t="s">
        <v>14</v>
      </c>
      <c r="C130" s="11" t="s">
        <v>553</v>
      </c>
      <c r="D130" s="12" t="s">
        <v>292</v>
      </c>
      <c r="E130" s="13" t="s">
        <v>293</v>
      </c>
      <c r="F130" s="10" t="s">
        <v>172</v>
      </c>
      <c r="G130" s="13" t="s">
        <v>294</v>
      </c>
      <c r="H130" s="14" t="s">
        <v>174</v>
      </c>
      <c r="I130" s="11" t="s">
        <v>64</v>
      </c>
      <c r="J130" s="11" t="s">
        <v>73</v>
      </c>
      <c r="K130" s="15">
        <f t="shared" si="15"/>
        <v>50</v>
      </c>
      <c r="L130" s="13" t="s">
        <v>228</v>
      </c>
      <c r="M130" s="11" t="s">
        <v>103</v>
      </c>
      <c r="N130" s="10" t="s">
        <v>94</v>
      </c>
      <c r="O130" s="13" t="s">
        <v>176</v>
      </c>
      <c r="P130" s="11" t="s">
        <v>98</v>
      </c>
      <c r="Q130" s="16">
        <v>46187</v>
      </c>
      <c r="R130" s="15" t="str">
        <f t="shared" si="16"/>
        <v>نعم</v>
      </c>
      <c r="S130" s="17" t="str">
        <f t="shared" si="17"/>
        <v>تحليل فجوة</v>
      </c>
      <c r="T130" s="15" t="str">
        <f t="shared" si="18"/>
        <v>عالية</v>
      </c>
      <c r="U130" s="11" t="str">
        <f t="shared" si="19"/>
        <v>ISO 10004:2018|4.3.12</v>
      </c>
      <c r="V130" s="11" t="str">
        <f>IF($T130="حرجة",COUNTIF($T$4:$T130,"حرجة"),"")</f>
        <v/>
      </c>
    </row>
    <row r="131" spans="1:22" ht="40" customHeight="1" x14ac:dyDescent="0.3">
      <c r="A131" s="11">
        <v>128</v>
      </c>
      <c r="B131" s="10" t="s">
        <v>14</v>
      </c>
      <c r="C131" s="11" t="s">
        <v>554</v>
      </c>
      <c r="D131" s="12" t="s">
        <v>555</v>
      </c>
      <c r="E131" s="13" t="s">
        <v>556</v>
      </c>
      <c r="F131" s="10" t="s">
        <v>172</v>
      </c>
      <c r="G131" s="13" t="s">
        <v>557</v>
      </c>
      <c r="H131" s="14" t="s">
        <v>174</v>
      </c>
      <c r="I131" s="11" t="s">
        <v>75</v>
      </c>
      <c r="J131" s="11" t="s">
        <v>73</v>
      </c>
      <c r="K131" s="15">
        <f t="shared" si="15"/>
        <v>50</v>
      </c>
      <c r="L131" s="13" t="s">
        <v>175</v>
      </c>
      <c r="M131" s="11" t="s">
        <v>86</v>
      </c>
      <c r="N131" s="10" t="s">
        <v>94</v>
      </c>
      <c r="O131" s="13" t="s">
        <v>176</v>
      </c>
      <c r="P131" s="11" t="s">
        <v>69</v>
      </c>
      <c r="Q131" s="16">
        <v>46190</v>
      </c>
      <c r="R131" s="15" t="str">
        <f t="shared" si="16"/>
        <v>نعم</v>
      </c>
      <c r="S131" s="17" t="str">
        <f t="shared" si="17"/>
        <v>تحليل فجوة</v>
      </c>
      <c r="T131" s="15" t="str">
        <f t="shared" si="18"/>
        <v>متوسطة</v>
      </c>
      <c r="U131" s="11" t="str">
        <f t="shared" si="19"/>
        <v>ISO 10004:2018|4.3.13</v>
      </c>
      <c r="V131" s="11" t="str">
        <f>IF($T131="حرجة",COUNTIF($T$4:$T131,"حرجة"),"")</f>
        <v/>
      </c>
    </row>
    <row r="132" spans="1:22" ht="40" customHeight="1" x14ac:dyDescent="0.3">
      <c r="A132" s="11">
        <v>129</v>
      </c>
      <c r="B132" s="10" t="s">
        <v>14</v>
      </c>
      <c r="C132" s="11" t="s">
        <v>558</v>
      </c>
      <c r="D132" s="12" t="s">
        <v>559</v>
      </c>
      <c r="E132" s="13" t="s">
        <v>560</v>
      </c>
      <c r="F132" s="10" t="s">
        <v>172</v>
      </c>
      <c r="G132" s="13" t="s">
        <v>561</v>
      </c>
      <c r="H132" s="14" t="s">
        <v>174</v>
      </c>
      <c r="I132" s="11" t="s">
        <v>64</v>
      </c>
      <c r="J132" s="11" t="s">
        <v>83</v>
      </c>
      <c r="K132" s="15">
        <f t="shared" ref="K132:K164" si="20">IF($J132="مطبق كلياً",100,IF($J132="مطبق جزئياً",50,IF($J132="غير مطبق",0,"")))</f>
        <v>0</v>
      </c>
      <c r="L132" s="13" t="s">
        <v>189</v>
      </c>
      <c r="M132" s="11" t="s">
        <v>109</v>
      </c>
      <c r="N132" s="10" t="s">
        <v>84</v>
      </c>
      <c r="O132" s="13" t="s">
        <v>420</v>
      </c>
      <c r="P132" s="11" t="s">
        <v>79</v>
      </c>
      <c r="Q132" s="16">
        <v>46193</v>
      </c>
      <c r="R132" s="15" t="str">
        <f t="shared" ref="R132:R164" si="21">IF(OR($J132="غير مطبق",$J132="مطبق جزئياً",$N132="عدم مطابقة كبرى",$N132="عدم مطابقة صغرى"),"نعم","لا")</f>
        <v>نعم</v>
      </c>
      <c r="S132" s="17" t="str">
        <f t="shared" ref="S132:S164" si="22">IF($R132="لا","—",IF(AND(OR($J132="غير مطبق",$J132="مطبق جزئياً"),OR($N132="عدم مطابقة كبرى",$N132="عدم مطابقة صغرى")),"تحليل فجوة + تدقيق",IF(OR($J132="غير مطبق",$J132="مطبق جزئياً"),"تحليل فجوة","تدقيق داخلي")))</f>
        <v>تحليل فجوة + تدقيق</v>
      </c>
      <c r="T132" s="15" t="str">
        <f t="shared" ref="T132:T164" si="23">IF($R132="لا","—",IF(OR($N132="عدم مطابقة كبرى",AND($I132="عالية",$J132="غير مطبق")),"حرجة",IF(OR(AND($I132="عالية",$J132="مطبق جزئياً"),AND($I132="متوسطة",$J132="غير مطبق"),$N132="عدم مطابقة صغرى"),"عالية",IF($I132="منخفضة","منخفضة","متوسطة"))))</f>
        <v>حرجة</v>
      </c>
      <c r="U132" s="11" t="str">
        <f t="shared" ref="U132:U164" si="24">$B132&amp;"|"&amp;$C132</f>
        <v>ISO 10004:2018|4.3.14</v>
      </c>
      <c r="V132" s="11">
        <f>IF($T132="حرجة",COUNTIF($T$4:$T132,"حرجة"),"")</f>
        <v>13</v>
      </c>
    </row>
    <row r="133" spans="1:22" ht="40" customHeight="1" x14ac:dyDescent="0.3">
      <c r="A133" s="11">
        <v>130</v>
      </c>
      <c r="B133" s="10" t="s">
        <v>14</v>
      </c>
      <c r="C133" s="11" t="s">
        <v>295</v>
      </c>
      <c r="D133" s="12" t="s">
        <v>296</v>
      </c>
      <c r="E133" s="13" t="s">
        <v>297</v>
      </c>
      <c r="F133" s="10" t="s">
        <v>180</v>
      </c>
      <c r="G133" s="13" t="s">
        <v>298</v>
      </c>
      <c r="H133" s="14" t="s">
        <v>299</v>
      </c>
      <c r="I133" s="11" t="s">
        <v>75</v>
      </c>
      <c r="J133" s="11" t="s">
        <v>73</v>
      </c>
      <c r="K133" s="15">
        <f t="shared" si="20"/>
        <v>50</v>
      </c>
      <c r="L133" s="13" t="s">
        <v>228</v>
      </c>
      <c r="M133" s="11" t="s">
        <v>66</v>
      </c>
      <c r="N133" s="10" t="s">
        <v>84</v>
      </c>
      <c r="O133" s="13" t="s">
        <v>143</v>
      </c>
      <c r="P133" s="11" t="s">
        <v>89</v>
      </c>
      <c r="Q133" s="16">
        <v>46196</v>
      </c>
      <c r="R133" s="15" t="str">
        <f t="shared" si="21"/>
        <v>نعم</v>
      </c>
      <c r="S133" s="17" t="str">
        <f t="shared" si="22"/>
        <v>تحليل فجوة + تدقيق</v>
      </c>
      <c r="T133" s="15" t="str">
        <f t="shared" si="23"/>
        <v>عالية</v>
      </c>
      <c r="U133" s="11" t="str">
        <f t="shared" si="24"/>
        <v>ISO 10004:2018|5.1</v>
      </c>
      <c r="V133" s="11" t="str">
        <f>IF($T133="حرجة",COUNTIF($T$4:$T133,"حرجة"),"")</f>
        <v/>
      </c>
    </row>
    <row r="134" spans="1:22" ht="40" customHeight="1" x14ac:dyDescent="0.3">
      <c r="A134" s="11">
        <v>131</v>
      </c>
      <c r="B134" s="10" t="s">
        <v>14</v>
      </c>
      <c r="C134" s="11" t="s">
        <v>300</v>
      </c>
      <c r="D134" s="12" t="s">
        <v>562</v>
      </c>
      <c r="E134" s="13" t="s">
        <v>302</v>
      </c>
      <c r="F134" s="10" t="s">
        <v>180</v>
      </c>
      <c r="G134" s="13" t="s">
        <v>563</v>
      </c>
      <c r="H134" s="14" t="s">
        <v>536</v>
      </c>
      <c r="I134" s="11" t="s">
        <v>75</v>
      </c>
      <c r="J134" s="11" t="s">
        <v>62</v>
      </c>
      <c r="K134" s="15">
        <f t="shared" si="20"/>
        <v>100</v>
      </c>
      <c r="L134" s="13" t="s">
        <v>254</v>
      </c>
      <c r="M134" s="11" t="s">
        <v>76</v>
      </c>
      <c r="N134" s="10" t="s">
        <v>63</v>
      </c>
      <c r="O134" s="13" t="s">
        <v>161</v>
      </c>
      <c r="P134" s="11" t="s">
        <v>98</v>
      </c>
      <c r="Q134" s="16">
        <v>46199</v>
      </c>
      <c r="R134" s="15" t="str">
        <f t="shared" si="21"/>
        <v>لا</v>
      </c>
      <c r="S134" s="17" t="str">
        <f t="shared" si="22"/>
        <v>—</v>
      </c>
      <c r="T134" s="15" t="str">
        <f t="shared" si="23"/>
        <v>—</v>
      </c>
      <c r="U134" s="11" t="str">
        <f t="shared" si="24"/>
        <v>ISO 10004:2018|5.2</v>
      </c>
      <c r="V134" s="11" t="str">
        <f>IF($T134="حرجة",COUNTIF($T$4:$T134,"حرجة"),"")</f>
        <v/>
      </c>
    </row>
    <row r="135" spans="1:22" ht="40" customHeight="1" x14ac:dyDescent="0.3">
      <c r="A135" s="11">
        <v>132</v>
      </c>
      <c r="B135" s="10" t="s">
        <v>14</v>
      </c>
      <c r="C135" s="11" t="s">
        <v>308</v>
      </c>
      <c r="D135" s="12" t="s">
        <v>564</v>
      </c>
      <c r="E135" s="13" t="s">
        <v>565</v>
      </c>
      <c r="F135" s="10" t="s">
        <v>311</v>
      </c>
      <c r="G135" s="13" t="s">
        <v>566</v>
      </c>
      <c r="H135" s="14" t="s">
        <v>360</v>
      </c>
      <c r="I135" s="11" t="s">
        <v>85</v>
      </c>
      <c r="J135" s="11" t="s">
        <v>62</v>
      </c>
      <c r="K135" s="15">
        <f t="shared" si="20"/>
        <v>100</v>
      </c>
      <c r="L135" s="13" t="s">
        <v>254</v>
      </c>
      <c r="M135" s="11" t="s">
        <v>76</v>
      </c>
      <c r="N135" s="10" t="s">
        <v>63</v>
      </c>
      <c r="O135" s="13" t="s">
        <v>161</v>
      </c>
      <c r="P135" s="11" t="s">
        <v>69</v>
      </c>
      <c r="Q135" s="16">
        <v>46202</v>
      </c>
      <c r="R135" s="15" t="str">
        <f t="shared" si="21"/>
        <v>لا</v>
      </c>
      <c r="S135" s="17" t="str">
        <f t="shared" si="22"/>
        <v>—</v>
      </c>
      <c r="T135" s="15" t="str">
        <f t="shared" si="23"/>
        <v>—</v>
      </c>
      <c r="U135" s="11" t="str">
        <f t="shared" si="24"/>
        <v>ISO 10004:2018|6.1</v>
      </c>
      <c r="V135" s="11" t="str">
        <f>IF($T135="حرجة",COUNTIF($T$4:$T135,"حرجة"),"")</f>
        <v/>
      </c>
    </row>
    <row r="136" spans="1:22" ht="40" customHeight="1" x14ac:dyDescent="0.3">
      <c r="A136" s="11">
        <v>133</v>
      </c>
      <c r="B136" s="10" t="s">
        <v>14</v>
      </c>
      <c r="C136" s="11" t="s">
        <v>313</v>
      </c>
      <c r="D136" s="12" t="s">
        <v>567</v>
      </c>
      <c r="E136" s="13" t="s">
        <v>568</v>
      </c>
      <c r="F136" s="10" t="s">
        <v>311</v>
      </c>
      <c r="G136" s="13" t="s">
        <v>569</v>
      </c>
      <c r="H136" s="14" t="s">
        <v>360</v>
      </c>
      <c r="I136" s="11" t="s">
        <v>64</v>
      </c>
      <c r="J136" s="11" t="s">
        <v>73</v>
      </c>
      <c r="K136" s="15">
        <f t="shared" si="20"/>
        <v>50</v>
      </c>
      <c r="L136" s="13" t="s">
        <v>200</v>
      </c>
      <c r="M136" s="11" t="s">
        <v>95</v>
      </c>
      <c r="N136" s="10" t="s">
        <v>84</v>
      </c>
      <c r="O136" s="13" t="s">
        <v>143</v>
      </c>
      <c r="P136" s="11" t="s">
        <v>79</v>
      </c>
      <c r="Q136" s="16">
        <v>46205</v>
      </c>
      <c r="R136" s="15" t="str">
        <f t="shared" si="21"/>
        <v>نعم</v>
      </c>
      <c r="S136" s="17" t="str">
        <f t="shared" si="22"/>
        <v>تحليل فجوة + تدقيق</v>
      </c>
      <c r="T136" s="15" t="str">
        <f t="shared" si="23"/>
        <v>عالية</v>
      </c>
      <c r="U136" s="11" t="str">
        <f t="shared" si="24"/>
        <v>ISO 10004:2018|6.2</v>
      </c>
      <c r="V136" s="11" t="str">
        <f>IF($T136="حرجة",COUNTIF($T$4:$T136,"حرجة"),"")</f>
        <v/>
      </c>
    </row>
    <row r="137" spans="1:22" ht="40" customHeight="1" x14ac:dyDescent="0.3">
      <c r="A137" s="11">
        <v>134</v>
      </c>
      <c r="B137" s="10" t="s">
        <v>14</v>
      </c>
      <c r="C137" s="11" t="s">
        <v>317</v>
      </c>
      <c r="D137" s="12" t="s">
        <v>570</v>
      </c>
      <c r="E137" s="13" t="s">
        <v>571</v>
      </c>
      <c r="F137" s="10" t="s">
        <v>311</v>
      </c>
      <c r="G137" s="13" t="s">
        <v>572</v>
      </c>
      <c r="H137" s="14" t="s">
        <v>360</v>
      </c>
      <c r="I137" s="11" t="s">
        <v>64</v>
      </c>
      <c r="J137" s="11" t="s">
        <v>62</v>
      </c>
      <c r="K137" s="15">
        <f t="shared" si="20"/>
        <v>100</v>
      </c>
      <c r="L137" s="13" t="s">
        <v>254</v>
      </c>
      <c r="M137" s="11" t="s">
        <v>103</v>
      </c>
      <c r="N137" s="10" t="s">
        <v>63</v>
      </c>
      <c r="O137" s="13" t="s">
        <v>161</v>
      </c>
      <c r="P137" s="11" t="s">
        <v>89</v>
      </c>
      <c r="Q137" s="16">
        <v>46208</v>
      </c>
      <c r="R137" s="15" t="str">
        <f t="shared" si="21"/>
        <v>لا</v>
      </c>
      <c r="S137" s="17" t="str">
        <f t="shared" si="22"/>
        <v>—</v>
      </c>
      <c r="T137" s="15" t="str">
        <f t="shared" si="23"/>
        <v>—</v>
      </c>
      <c r="U137" s="11" t="str">
        <f t="shared" si="24"/>
        <v>ISO 10004:2018|6.3</v>
      </c>
      <c r="V137" s="11" t="str">
        <f>IF($T137="حرجة",COUNTIF($T$4:$T137,"حرجة"),"")</f>
        <v/>
      </c>
    </row>
    <row r="138" spans="1:22" ht="40" customHeight="1" x14ac:dyDescent="0.3">
      <c r="A138" s="11">
        <v>135</v>
      </c>
      <c r="B138" s="10" t="s">
        <v>14</v>
      </c>
      <c r="C138" s="11" t="s">
        <v>321</v>
      </c>
      <c r="D138" s="12" t="s">
        <v>573</v>
      </c>
      <c r="E138" s="13" t="s">
        <v>574</v>
      </c>
      <c r="F138" s="10" t="s">
        <v>311</v>
      </c>
      <c r="G138" s="13" t="s">
        <v>575</v>
      </c>
      <c r="H138" s="14" t="s">
        <v>360</v>
      </c>
      <c r="I138" s="11" t="s">
        <v>64</v>
      </c>
      <c r="J138" s="11" t="s">
        <v>62</v>
      </c>
      <c r="K138" s="15">
        <f t="shared" si="20"/>
        <v>100</v>
      </c>
      <c r="L138" s="13" t="s">
        <v>160</v>
      </c>
      <c r="M138" s="11" t="s">
        <v>103</v>
      </c>
      <c r="N138" s="10" t="s">
        <v>63</v>
      </c>
      <c r="O138" s="13" t="s">
        <v>161</v>
      </c>
      <c r="P138" s="11" t="s">
        <v>98</v>
      </c>
      <c r="Q138" s="16">
        <v>46211</v>
      </c>
      <c r="R138" s="15" t="str">
        <f t="shared" si="21"/>
        <v>لا</v>
      </c>
      <c r="S138" s="17" t="str">
        <f t="shared" si="22"/>
        <v>—</v>
      </c>
      <c r="T138" s="15" t="str">
        <f t="shared" si="23"/>
        <v>—</v>
      </c>
      <c r="U138" s="11" t="str">
        <f t="shared" si="24"/>
        <v>ISO 10004:2018|6.4</v>
      </c>
      <c r="V138" s="11" t="str">
        <f>IF($T138="حرجة",COUNTIF($T$4:$T138,"حرجة"),"")</f>
        <v/>
      </c>
    </row>
    <row r="139" spans="1:22" ht="40" customHeight="1" x14ac:dyDescent="0.3">
      <c r="A139" s="11">
        <v>136</v>
      </c>
      <c r="B139" s="10" t="s">
        <v>14</v>
      </c>
      <c r="C139" s="11" t="s">
        <v>451</v>
      </c>
      <c r="D139" s="12" t="s">
        <v>576</v>
      </c>
      <c r="E139" s="13" t="s">
        <v>239</v>
      </c>
      <c r="F139" s="10" t="s">
        <v>186</v>
      </c>
      <c r="G139" s="13" t="s">
        <v>577</v>
      </c>
      <c r="H139" s="14" t="s">
        <v>360</v>
      </c>
      <c r="I139" s="11" t="s">
        <v>64</v>
      </c>
      <c r="J139" s="11" t="s">
        <v>62</v>
      </c>
      <c r="K139" s="15">
        <f t="shared" si="20"/>
        <v>100</v>
      </c>
      <c r="L139" s="13" t="s">
        <v>254</v>
      </c>
      <c r="M139" s="11" t="s">
        <v>95</v>
      </c>
      <c r="N139" s="10" t="s">
        <v>63</v>
      </c>
      <c r="O139" s="13" t="s">
        <v>161</v>
      </c>
      <c r="P139" s="11" t="s">
        <v>69</v>
      </c>
      <c r="Q139" s="16">
        <v>46214</v>
      </c>
      <c r="R139" s="15" t="str">
        <f t="shared" si="21"/>
        <v>لا</v>
      </c>
      <c r="S139" s="17" t="str">
        <f t="shared" si="22"/>
        <v>—</v>
      </c>
      <c r="T139" s="15" t="str">
        <f t="shared" si="23"/>
        <v>—</v>
      </c>
      <c r="U139" s="11" t="str">
        <f t="shared" si="24"/>
        <v>ISO 10004:2018|7.1</v>
      </c>
      <c r="V139" s="11" t="str">
        <f>IF($T139="حرجة",COUNTIF($T$4:$T139,"حرجة"),"")</f>
        <v/>
      </c>
    </row>
    <row r="140" spans="1:22" ht="40" customHeight="1" x14ac:dyDescent="0.3">
      <c r="A140" s="11">
        <v>137</v>
      </c>
      <c r="B140" s="10" t="s">
        <v>14</v>
      </c>
      <c r="C140" s="11" t="s">
        <v>195</v>
      </c>
      <c r="D140" s="12" t="s">
        <v>578</v>
      </c>
      <c r="E140" s="13" t="s">
        <v>579</v>
      </c>
      <c r="F140" s="10" t="s">
        <v>186</v>
      </c>
      <c r="G140" s="13" t="s">
        <v>580</v>
      </c>
      <c r="H140" s="14" t="s">
        <v>360</v>
      </c>
      <c r="I140" s="11" t="s">
        <v>64</v>
      </c>
      <c r="J140" s="11" t="s">
        <v>73</v>
      </c>
      <c r="K140" s="15">
        <f t="shared" si="20"/>
        <v>50</v>
      </c>
      <c r="L140" s="13" t="s">
        <v>175</v>
      </c>
      <c r="M140" s="11" t="s">
        <v>86</v>
      </c>
      <c r="N140" s="10" t="s">
        <v>84</v>
      </c>
      <c r="O140" s="13" t="s">
        <v>217</v>
      </c>
      <c r="P140" s="11" t="s">
        <v>79</v>
      </c>
      <c r="Q140" s="16">
        <v>46217</v>
      </c>
      <c r="R140" s="15" t="str">
        <f t="shared" si="21"/>
        <v>نعم</v>
      </c>
      <c r="S140" s="17" t="str">
        <f t="shared" si="22"/>
        <v>تحليل فجوة + تدقيق</v>
      </c>
      <c r="T140" s="15" t="str">
        <f t="shared" si="23"/>
        <v>عالية</v>
      </c>
      <c r="U140" s="11" t="str">
        <f t="shared" si="24"/>
        <v>ISO 10004:2018|7.2.1</v>
      </c>
      <c r="V140" s="11" t="str">
        <f>IF($T140="حرجة",COUNTIF($T$4:$T140,"حرجة"),"")</f>
        <v/>
      </c>
    </row>
    <row r="141" spans="1:22" ht="40" customHeight="1" x14ac:dyDescent="0.3">
      <c r="A141" s="11">
        <v>138</v>
      </c>
      <c r="B141" s="10" t="s">
        <v>14</v>
      </c>
      <c r="C141" s="11" t="s">
        <v>201</v>
      </c>
      <c r="D141" s="12" t="s">
        <v>581</v>
      </c>
      <c r="E141" s="13" t="s">
        <v>582</v>
      </c>
      <c r="F141" s="10" t="s">
        <v>186</v>
      </c>
      <c r="G141" s="13" t="s">
        <v>583</v>
      </c>
      <c r="H141" s="14" t="s">
        <v>360</v>
      </c>
      <c r="I141" s="11" t="s">
        <v>64</v>
      </c>
      <c r="J141" s="11" t="s">
        <v>62</v>
      </c>
      <c r="K141" s="15">
        <f t="shared" si="20"/>
        <v>100</v>
      </c>
      <c r="L141" s="13" t="s">
        <v>160</v>
      </c>
      <c r="M141" s="11" t="s">
        <v>76</v>
      </c>
      <c r="N141" s="10" t="s">
        <v>63</v>
      </c>
      <c r="O141" s="13" t="s">
        <v>161</v>
      </c>
      <c r="P141" s="11" t="s">
        <v>89</v>
      </c>
      <c r="Q141" s="16">
        <v>46174</v>
      </c>
      <c r="R141" s="15" t="str">
        <f t="shared" si="21"/>
        <v>لا</v>
      </c>
      <c r="S141" s="17" t="str">
        <f t="shared" si="22"/>
        <v>—</v>
      </c>
      <c r="T141" s="15" t="str">
        <f t="shared" si="23"/>
        <v>—</v>
      </c>
      <c r="U141" s="11" t="str">
        <f t="shared" si="24"/>
        <v>ISO 10004:2018|7.2.2</v>
      </c>
      <c r="V141" s="11" t="str">
        <f>IF($T141="حرجة",COUNTIF($T$4:$T141,"حرجة"),"")</f>
        <v/>
      </c>
    </row>
    <row r="142" spans="1:22" ht="40" customHeight="1" x14ac:dyDescent="0.3">
      <c r="A142" s="11">
        <v>139</v>
      </c>
      <c r="B142" s="10" t="s">
        <v>14</v>
      </c>
      <c r="C142" s="11" t="s">
        <v>205</v>
      </c>
      <c r="D142" s="12" t="s">
        <v>584</v>
      </c>
      <c r="E142" s="13" t="s">
        <v>585</v>
      </c>
      <c r="F142" s="10" t="s">
        <v>186</v>
      </c>
      <c r="G142" s="13" t="s">
        <v>586</v>
      </c>
      <c r="H142" s="14" t="s">
        <v>360</v>
      </c>
      <c r="I142" s="11" t="s">
        <v>64</v>
      </c>
      <c r="J142" s="11" t="s">
        <v>83</v>
      </c>
      <c r="K142" s="15">
        <f t="shared" si="20"/>
        <v>0</v>
      </c>
      <c r="L142" s="13" t="s">
        <v>419</v>
      </c>
      <c r="M142" s="11" t="s">
        <v>109</v>
      </c>
      <c r="N142" s="10" t="s">
        <v>84</v>
      </c>
      <c r="O142" s="13" t="s">
        <v>281</v>
      </c>
      <c r="P142" s="11" t="s">
        <v>98</v>
      </c>
      <c r="Q142" s="16">
        <v>46177</v>
      </c>
      <c r="R142" s="15" t="str">
        <f t="shared" si="21"/>
        <v>نعم</v>
      </c>
      <c r="S142" s="17" t="str">
        <f t="shared" si="22"/>
        <v>تحليل فجوة + تدقيق</v>
      </c>
      <c r="T142" s="15" t="str">
        <f t="shared" si="23"/>
        <v>حرجة</v>
      </c>
      <c r="U142" s="11" t="str">
        <f t="shared" si="24"/>
        <v>ISO 10004:2018|7.3.1</v>
      </c>
      <c r="V142" s="11">
        <f>IF($T142="حرجة",COUNTIF($T$4:$T142,"حرجة"),"")</f>
        <v>14</v>
      </c>
    </row>
    <row r="143" spans="1:22" ht="40" customHeight="1" x14ac:dyDescent="0.3">
      <c r="A143" s="11">
        <v>140</v>
      </c>
      <c r="B143" s="10" t="s">
        <v>14</v>
      </c>
      <c r="C143" s="11" t="s">
        <v>211</v>
      </c>
      <c r="D143" s="12" t="s">
        <v>587</v>
      </c>
      <c r="E143" s="13" t="s">
        <v>588</v>
      </c>
      <c r="F143" s="10" t="s">
        <v>186</v>
      </c>
      <c r="G143" s="13" t="s">
        <v>589</v>
      </c>
      <c r="H143" s="14" t="s">
        <v>360</v>
      </c>
      <c r="I143" s="11" t="s">
        <v>64</v>
      </c>
      <c r="J143" s="11" t="s">
        <v>62</v>
      </c>
      <c r="K143" s="15">
        <f t="shared" si="20"/>
        <v>100</v>
      </c>
      <c r="L143" s="13" t="s">
        <v>241</v>
      </c>
      <c r="M143" s="11" t="s">
        <v>76</v>
      </c>
      <c r="N143" s="10" t="s">
        <v>63</v>
      </c>
      <c r="O143" s="13" t="s">
        <v>161</v>
      </c>
      <c r="P143" s="11" t="s">
        <v>69</v>
      </c>
      <c r="Q143" s="16">
        <v>46180</v>
      </c>
      <c r="R143" s="15" t="str">
        <f t="shared" si="21"/>
        <v>لا</v>
      </c>
      <c r="S143" s="17" t="str">
        <f t="shared" si="22"/>
        <v>—</v>
      </c>
      <c r="T143" s="15" t="str">
        <f t="shared" si="23"/>
        <v>—</v>
      </c>
      <c r="U143" s="11" t="str">
        <f t="shared" si="24"/>
        <v>ISO 10004:2018|7.3.2</v>
      </c>
      <c r="V143" s="11" t="str">
        <f>IF($T143="حرجة",COUNTIF($T$4:$T143,"حرجة"),"")</f>
        <v/>
      </c>
    </row>
    <row r="144" spans="1:22" ht="40" customHeight="1" x14ac:dyDescent="0.3">
      <c r="A144" s="11">
        <v>141</v>
      </c>
      <c r="B144" s="10" t="s">
        <v>14</v>
      </c>
      <c r="C144" s="11" t="s">
        <v>218</v>
      </c>
      <c r="D144" s="12" t="s">
        <v>590</v>
      </c>
      <c r="E144" s="13" t="s">
        <v>591</v>
      </c>
      <c r="F144" s="10" t="s">
        <v>186</v>
      </c>
      <c r="G144" s="13" t="s">
        <v>592</v>
      </c>
      <c r="H144" s="14" t="s">
        <v>360</v>
      </c>
      <c r="I144" s="11" t="s">
        <v>75</v>
      </c>
      <c r="J144" s="11" t="s">
        <v>83</v>
      </c>
      <c r="K144" s="15">
        <f t="shared" si="20"/>
        <v>0</v>
      </c>
      <c r="L144" s="13" t="s">
        <v>383</v>
      </c>
      <c r="M144" s="11" t="s">
        <v>109</v>
      </c>
      <c r="N144" s="10" t="s">
        <v>74</v>
      </c>
      <c r="O144" s="13" t="s">
        <v>281</v>
      </c>
      <c r="P144" s="11" t="s">
        <v>79</v>
      </c>
      <c r="Q144" s="16">
        <v>46183</v>
      </c>
      <c r="R144" s="15" t="str">
        <f t="shared" si="21"/>
        <v>نعم</v>
      </c>
      <c r="S144" s="17" t="str">
        <f t="shared" si="22"/>
        <v>تحليل فجوة + تدقيق</v>
      </c>
      <c r="T144" s="15" t="str">
        <f t="shared" si="23"/>
        <v>حرجة</v>
      </c>
      <c r="U144" s="11" t="str">
        <f t="shared" si="24"/>
        <v>ISO 10004:2018|7.3.3</v>
      </c>
      <c r="V144" s="11">
        <f>IF($T144="حرجة",COUNTIF($T$4:$T144,"حرجة"),"")</f>
        <v>15</v>
      </c>
    </row>
    <row r="145" spans="1:22" ht="40" customHeight="1" x14ac:dyDescent="0.3">
      <c r="A145" s="11">
        <v>142</v>
      </c>
      <c r="B145" s="10" t="s">
        <v>14</v>
      </c>
      <c r="C145" s="11" t="s">
        <v>593</v>
      </c>
      <c r="D145" s="12" t="s">
        <v>594</v>
      </c>
      <c r="E145" s="13" t="s">
        <v>595</v>
      </c>
      <c r="F145" s="10" t="s">
        <v>186</v>
      </c>
      <c r="G145" s="13" t="s">
        <v>596</v>
      </c>
      <c r="H145" s="14" t="s">
        <v>360</v>
      </c>
      <c r="I145" s="11" t="s">
        <v>64</v>
      </c>
      <c r="J145" s="11" t="s">
        <v>73</v>
      </c>
      <c r="K145" s="15">
        <f t="shared" si="20"/>
        <v>50</v>
      </c>
      <c r="L145" s="13" t="s">
        <v>175</v>
      </c>
      <c r="M145" s="11" t="s">
        <v>103</v>
      </c>
      <c r="N145" s="10" t="s">
        <v>94</v>
      </c>
      <c r="O145" s="13" t="s">
        <v>394</v>
      </c>
      <c r="P145" s="11" t="s">
        <v>89</v>
      </c>
      <c r="Q145" s="16">
        <v>46186</v>
      </c>
      <c r="R145" s="15" t="str">
        <f t="shared" si="21"/>
        <v>نعم</v>
      </c>
      <c r="S145" s="17" t="str">
        <f t="shared" si="22"/>
        <v>تحليل فجوة</v>
      </c>
      <c r="T145" s="15" t="str">
        <f t="shared" si="23"/>
        <v>عالية</v>
      </c>
      <c r="U145" s="11" t="str">
        <f t="shared" si="24"/>
        <v>ISO 10004:2018|7.3.4</v>
      </c>
      <c r="V145" s="11" t="str">
        <f>IF($T145="حرجة",COUNTIF($T$4:$T145,"حرجة"),"")</f>
        <v/>
      </c>
    </row>
    <row r="146" spans="1:22" ht="40" customHeight="1" x14ac:dyDescent="0.3">
      <c r="A146" s="11">
        <v>143</v>
      </c>
      <c r="B146" s="10" t="s">
        <v>14</v>
      </c>
      <c r="C146" s="11" t="s">
        <v>223</v>
      </c>
      <c r="D146" s="12" t="s">
        <v>597</v>
      </c>
      <c r="E146" s="13" t="s">
        <v>239</v>
      </c>
      <c r="F146" s="10" t="s">
        <v>186</v>
      </c>
      <c r="G146" s="13" t="s">
        <v>598</v>
      </c>
      <c r="H146" s="14" t="s">
        <v>351</v>
      </c>
      <c r="I146" s="11" t="s">
        <v>64</v>
      </c>
      <c r="J146" s="11" t="s">
        <v>62</v>
      </c>
      <c r="K146" s="15">
        <f t="shared" si="20"/>
        <v>100</v>
      </c>
      <c r="L146" s="13" t="s">
        <v>160</v>
      </c>
      <c r="M146" s="11" t="s">
        <v>76</v>
      </c>
      <c r="N146" s="10" t="s">
        <v>63</v>
      </c>
      <c r="O146" s="13" t="s">
        <v>161</v>
      </c>
      <c r="P146" s="11" t="s">
        <v>98</v>
      </c>
      <c r="Q146" s="16">
        <v>46189</v>
      </c>
      <c r="R146" s="15" t="str">
        <f t="shared" si="21"/>
        <v>لا</v>
      </c>
      <c r="S146" s="17" t="str">
        <f t="shared" si="22"/>
        <v>—</v>
      </c>
      <c r="T146" s="15" t="str">
        <f t="shared" si="23"/>
        <v>—</v>
      </c>
      <c r="U146" s="11" t="str">
        <f t="shared" si="24"/>
        <v>ISO 10004:2018|7.4.1</v>
      </c>
      <c r="V146" s="11" t="str">
        <f>IF($T146="حرجة",COUNTIF($T$4:$T146,"حرجة"),"")</f>
        <v/>
      </c>
    </row>
    <row r="147" spans="1:22" ht="40" customHeight="1" x14ac:dyDescent="0.3">
      <c r="A147" s="11">
        <v>144</v>
      </c>
      <c r="B147" s="10" t="s">
        <v>14</v>
      </c>
      <c r="C147" s="11" t="s">
        <v>230</v>
      </c>
      <c r="D147" s="12" t="s">
        <v>599</v>
      </c>
      <c r="E147" s="13" t="s">
        <v>600</v>
      </c>
      <c r="F147" s="10" t="s">
        <v>186</v>
      </c>
      <c r="G147" s="13" t="s">
        <v>601</v>
      </c>
      <c r="H147" s="14" t="s">
        <v>351</v>
      </c>
      <c r="I147" s="11" t="s">
        <v>85</v>
      </c>
      <c r="J147" s="11" t="s">
        <v>73</v>
      </c>
      <c r="K147" s="15">
        <f t="shared" si="20"/>
        <v>50</v>
      </c>
      <c r="L147" s="13" t="s">
        <v>175</v>
      </c>
      <c r="M147" s="11" t="s">
        <v>76</v>
      </c>
      <c r="N147" s="10" t="s">
        <v>102</v>
      </c>
      <c r="O147" s="13" t="s">
        <v>394</v>
      </c>
      <c r="P147" s="11" t="s">
        <v>69</v>
      </c>
      <c r="Q147" s="16">
        <v>46192</v>
      </c>
      <c r="R147" s="15" t="str">
        <f t="shared" si="21"/>
        <v>نعم</v>
      </c>
      <c r="S147" s="17" t="str">
        <f t="shared" si="22"/>
        <v>تحليل فجوة</v>
      </c>
      <c r="T147" s="15" t="str">
        <f t="shared" si="23"/>
        <v>منخفضة</v>
      </c>
      <c r="U147" s="11" t="str">
        <f t="shared" si="24"/>
        <v>ISO 10004:2018|7.4.2</v>
      </c>
      <c r="V147" s="11" t="str">
        <f>IF($T147="حرجة",COUNTIF($T$4:$T147,"حرجة"),"")</f>
        <v/>
      </c>
    </row>
    <row r="148" spans="1:22" ht="40" customHeight="1" x14ac:dyDescent="0.3">
      <c r="A148" s="11">
        <v>145</v>
      </c>
      <c r="B148" s="10" t="s">
        <v>14</v>
      </c>
      <c r="C148" s="11" t="s">
        <v>602</v>
      </c>
      <c r="D148" s="12" t="s">
        <v>603</v>
      </c>
      <c r="E148" s="13" t="s">
        <v>604</v>
      </c>
      <c r="F148" s="10" t="s">
        <v>186</v>
      </c>
      <c r="G148" s="13" t="s">
        <v>605</v>
      </c>
      <c r="H148" s="14" t="s">
        <v>351</v>
      </c>
      <c r="I148" s="11" t="s">
        <v>64</v>
      </c>
      <c r="J148" s="11" t="s">
        <v>73</v>
      </c>
      <c r="K148" s="15">
        <f t="shared" si="20"/>
        <v>50</v>
      </c>
      <c r="L148" s="13" t="s">
        <v>216</v>
      </c>
      <c r="M148" s="11" t="s">
        <v>66</v>
      </c>
      <c r="N148" s="10" t="s">
        <v>94</v>
      </c>
      <c r="O148" s="13" t="s">
        <v>394</v>
      </c>
      <c r="P148" s="11" t="s">
        <v>79</v>
      </c>
      <c r="Q148" s="16">
        <v>46195</v>
      </c>
      <c r="R148" s="15" t="str">
        <f t="shared" si="21"/>
        <v>نعم</v>
      </c>
      <c r="S148" s="17" t="str">
        <f t="shared" si="22"/>
        <v>تحليل فجوة</v>
      </c>
      <c r="T148" s="15" t="str">
        <f t="shared" si="23"/>
        <v>عالية</v>
      </c>
      <c r="U148" s="11" t="str">
        <f t="shared" si="24"/>
        <v>ISO 10004:2018|7.4.3</v>
      </c>
      <c r="V148" s="11" t="str">
        <f>IF($T148="حرجة",COUNTIF($T$4:$T148,"حرجة"),"")</f>
        <v/>
      </c>
    </row>
    <row r="149" spans="1:22" ht="40" customHeight="1" x14ac:dyDescent="0.3">
      <c r="A149" s="11">
        <v>146</v>
      </c>
      <c r="B149" s="10" t="s">
        <v>14</v>
      </c>
      <c r="C149" s="11" t="s">
        <v>606</v>
      </c>
      <c r="D149" s="12" t="s">
        <v>607</v>
      </c>
      <c r="E149" s="13" t="s">
        <v>608</v>
      </c>
      <c r="F149" s="10" t="s">
        <v>186</v>
      </c>
      <c r="G149" s="13" t="s">
        <v>609</v>
      </c>
      <c r="H149" s="14" t="s">
        <v>351</v>
      </c>
      <c r="I149" s="11" t="s">
        <v>75</v>
      </c>
      <c r="J149" s="11" t="s">
        <v>62</v>
      </c>
      <c r="K149" s="15">
        <f t="shared" si="20"/>
        <v>100</v>
      </c>
      <c r="L149" s="13" t="s">
        <v>160</v>
      </c>
      <c r="M149" s="11" t="s">
        <v>66</v>
      </c>
      <c r="N149" s="10" t="s">
        <v>102</v>
      </c>
      <c r="O149" s="13" t="s">
        <v>168</v>
      </c>
      <c r="P149" s="11" t="s">
        <v>89</v>
      </c>
      <c r="Q149" s="16">
        <v>46198</v>
      </c>
      <c r="R149" s="15" t="str">
        <f t="shared" si="21"/>
        <v>لا</v>
      </c>
      <c r="S149" s="17" t="str">
        <f t="shared" si="22"/>
        <v>—</v>
      </c>
      <c r="T149" s="15" t="str">
        <f t="shared" si="23"/>
        <v>—</v>
      </c>
      <c r="U149" s="11" t="str">
        <f t="shared" si="24"/>
        <v>ISO 10004:2018|7.4.4</v>
      </c>
      <c r="V149" s="11" t="str">
        <f>IF($T149="حرجة",COUNTIF($T$4:$T149,"حرجة"),"")</f>
        <v/>
      </c>
    </row>
    <row r="150" spans="1:22" ht="40" customHeight="1" x14ac:dyDescent="0.3">
      <c r="A150" s="11">
        <v>147</v>
      </c>
      <c r="B150" s="10" t="s">
        <v>14</v>
      </c>
      <c r="C150" s="11" t="s">
        <v>610</v>
      </c>
      <c r="D150" s="12" t="s">
        <v>611</v>
      </c>
      <c r="E150" s="13" t="s">
        <v>612</v>
      </c>
      <c r="F150" s="10" t="s">
        <v>186</v>
      </c>
      <c r="G150" s="13" t="s">
        <v>613</v>
      </c>
      <c r="H150" s="14" t="s">
        <v>351</v>
      </c>
      <c r="I150" s="11" t="s">
        <v>64</v>
      </c>
      <c r="J150" s="11" t="s">
        <v>62</v>
      </c>
      <c r="K150" s="15">
        <f t="shared" si="20"/>
        <v>100</v>
      </c>
      <c r="L150" s="13" t="s">
        <v>167</v>
      </c>
      <c r="M150" s="11" t="s">
        <v>66</v>
      </c>
      <c r="N150" s="10" t="s">
        <v>63</v>
      </c>
      <c r="O150" s="13" t="s">
        <v>161</v>
      </c>
      <c r="P150" s="11" t="s">
        <v>98</v>
      </c>
      <c r="Q150" s="16">
        <v>46201</v>
      </c>
      <c r="R150" s="15" t="str">
        <f t="shared" si="21"/>
        <v>لا</v>
      </c>
      <c r="S150" s="17" t="str">
        <f t="shared" si="22"/>
        <v>—</v>
      </c>
      <c r="T150" s="15" t="str">
        <f t="shared" si="23"/>
        <v>—</v>
      </c>
      <c r="U150" s="11" t="str">
        <f t="shared" si="24"/>
        <v>ISO 10004:2018|7.4.5</v>
      </c>
      <c r="V150" s="11" t="str">
        <f>IF($T150="حرجة",COUNTIF($T$4:$T150,"حرجة"),"")</f>
        <v/>
      </c>
    </row>
    <row r="151" spans="1:22" ht="40" customHeight="1" x14ac:dyDescent="0.3">
      <c r="A151" s="11">
        <v>148</v>
      </c>
      <c r="B151" s="10" t="s">
        <v>14</v>
      </c>
      <c r="C151" s="11" t="s">
        <v>614</v>
      </c>
      <c r="D151" s="12" t="s">
        <v>615</v>
      </c>
      <c r="E151" s="13" t="s">
        <v>616</v>
      </c>
      <c r="F151" s="10" t="s">
        <v>186</v>
      </c>
      <c r="G151" s="13" t="s">
        <v>617</v>
      </c>
      <c r="H151" s="14" t="s">
        <v>351</v>
      </c>
      <c r="I151" s="11" t="s">
        <v>75</v>
      </c>
      <c r="J151" s="11" t="s">
        <v>73</v>
      </c>
      <c r="K151" s="15">
        <f t="shared" si="20"/>
        <v>50</v>
      </c>
      <c r="L151" s="13" t="s">
        <v>216</v>
      </c>
      <c r="M151" s="11" t="s">
        <v>76</v>
      </c>
      <c r="N151" s="10" t="s">
        <v>84</v>
      </c>
      <c r="O151" s="13" t="s">
        <v>229</v>
      </c>
      <c r="P151" s="11" t="s">
        <v>69</v>
      </c>
      <c r="Q151" s="16">
        <v>46204</v>
      </c>
      <c r="R151" s="15" t="str">
        <f t="shared" si="21"/>
        <v>نعم</v>
      </c>
      <c r="S151" s="17" t="str">
        <f t="shared" si="22"/>
        <v>تحليل فجوة + تدقيق</v>
      </c>
      <c r="T151" s="15" t="str">
        <f t="shared" si="23"/>
        <v>عالية</v>
      </c>
      <c r="U151" s="11" t="str">
        <f t="shared" si="24"/>
        <v>ISO 10004:2018|7.4.6</v>
      </c>
      <c r="V151" s="11" t="str">
        <f>IF($T151="حرجة",COUNTIF($T$4:$T151,"حرجة"),"")</f>
        <v/>
      </c>
    </row>
    <row r="152" spans="1:22" ht="40" customHeight="1" x14ac:dyDescent="0.3">
      <c r="A152" s="11">
        <v>149</v>
      </c>
      <c r="B152" s="10" t="s">
        <v>14</v>
      </c>
      <c r="C152" s="11" t="s">
        <v>467</v>
      </c>
      <c r="D152" s="12" t="s">
        <v>618</v>
      </c>
      <c r="E152" s="13" t="s">
        <v>619</v>
      </c>
      <c r="F152" s="10" t="s">
        <v>186</v>
      </c>
      <c r="G152" s="13" t="s">
        <v>620</v>
      </c>
      <c r="H152" s="14" t="s">
        <v>338</v>
      </c>
      <c r="I152" s="11" t="s">
        <v>64</v>
      </c>
      <c r="J152" s="11" t="s">
        <v>83</v>
      </c>
      <c r="K152" s="15">
        <f t="shared" si="20"/>
        <v>0</v>
      </c>
      <c r="L152" s="13" t="s">
        <v>419</v>
      </c>
      <c r="M152" s="11" t="s">
        <v>109</v>
      </c>
      <c r="N152" s="10" t="s">
        <v>74</v>
      </c>
      <c r="O152" s="13" t="s">
        <v>420</v>
      </c>
      <c r="P152" s="11" t="s">
        <v>79</v>
      </c>
      <c r="Q152" s="16">
        <v>46207</v>
      </c>
      <c r="R152" s="15" t="str">
        <f t="shared" si="21"/>
        <v>نعم</v>
      </c>
      <c r="S152" s="17" t="str">
        <f t="shared" si="22"/>
        <v>تحليل فجوة + تدقيق</v>
      </c>
      <c r="T152" s="15" t="str">
        <f t="shared" si="23"/>
        <v>حرجة</v>
      </c>
      <c r="U152" s="11" t="str">
        <f t="shared" si="24"/>
        <v>ISO 10004:2018|7.5</v>
      </c>
      <c r="V152" s="11">
        <f>IF($T152="حرجة",COUNTIF($T$4:$T152,"حرجة"),"")</f>
        <v>16</v>
      </c>
    </row>
    <row r="153" spans="1:22" ht="40" customHeight="1" x14ac:dyDescent="0.3">
      <c r="A153" s="11">
        <v>150</v>
      </c>
      <c r="B153" s="10" t="s">
        <v>14</v>
      </c>
      <c r="C153" s="11" t="s">
        <v>621</v>
      </c>
      <c r="D153" s="12" t="s">
        <v>622</v>
      </c>
      <c r="E153" s="13" t="s">
        <v>239</v>
      </c>
      <c r="F153" s="10" t="s">
        <v>233</v>
      </c>
      <c r="G153" s="13" t="s">
        <v>623</v>
      </c>
      <c r="H153" s="14" t="s">
        <v>496</v>
      </c>
      <c r="I153" s="11" t="s">
        <v>75</v>
      </c>
      <c r="J153" s="11" t="s">
        <v>62</v>
      </c>
      <c r="K153" s="15">
        <f t="shared" si="20"/>
        <v>100</v>
      </c>
      <c r="L153" s="13" t="s">
        <v>182</v>
      </c>
      <c r="M153" s="11" t="s">
        <v>66</v>
      </c>
      <c r="N153" s="10" t="s">
        <v>63</v>
      </c>
      <c r="O153" s="13" t="s">
        <v>161</v>
      </c>
      <c r="P153" s="11" t="s">
        <v>89</v>
      </c>
      <c r="Q153" s="16">
        <v>46210</v>
      </c>
      <c r="R153" s="15" t="str">
        <f t="shared" si="21"/>
        <v>لا</v>
      </c>
      <c r="S153" s="17" t="str">
        <f t="shared" si="22"/>
        <v>—</v>
      </c>
      <c r="T153" s="15" t="str">
        <f t="shared" si="23"/>
        <v>—</v>
      </c>
      <c r="U153" s="11" t="str">
        <f t="shared" si="24"/>
        <v>ISO 10004:2018|7.6.1</v>
      </c>
      <c r="V153" s="11" t="str">
        <f>IF($T153="حرجة",COUNTIF($T$4:$T153,"حرجة"),"")</f>
        <v/>
      </c>
    </row>
    <row r="154" spans="1:22" ht="40" customHeight="1" x14ac:dyDescent="0.3">
      <c r="A154" s="11">
        <v>151</v>
      </c>
      <c r="B154" s="10" t="s">
        <v>14</v>
      </c>
      <c r="C154" s="11" t="s">
        <v>624</v>
      </c>
      <c r="D154" s="12" t="s">
        <v>625</v>
      </c>
      <c r="E154" s="13" t="s">
        <v>626</v>
      </c>
      <c r="F154" s="10" t="s">
        <v>233</v>
      </c>
      <c r="G154" s="13" t="s">
        <v>627</v>
      </c>
      <c r="H154" s="14" t="s">
        <v>496</v>
      </c>
      <c r="I154" s="11" t="s">
        <v>85</v>
      </c>
      <c r="J154" s="11" t="s">
        <v>83</v>
      </c>
      <c r="K154" s="15">
        <f t="shared" si="20"/>
        <v>0</v>
      </c>
      <c r="L154" s="13" t="s">
        <v>280</v>
      </c>
      <c r="M154" s="11" t="s">
        <v>109</v>
      </c>
      <c r="N154" s="10" t="s">
        <v>84</v>
      </c>
      <c r="O154" s="13" t="s">
        <v>190</v>
      </c>
      <c r="P154" s="11" t="s">
        <v>98</v>
      </c>
      <c r="Q154" s="16">
        <v>46213</v>
      </c>
      <c r="R154" s="15" t="str">
        <f t="shared" si="21"/>
        <v>نعم</v>
      </c>
      <c r="S154" s="17" t="str">
        <f t="shared" si="22"/>
        <v>تحليل فجوة + تدقيق</v>
      </c>
      <c r="T154" s="15" t="str">
        <f t="shared" si="23"/>
        <v>عالية</v>
      </c>
      <c r="U154" s="11" t="str">
        <f t="shared" si="24"/>
        <v>ISO 10004:2018|7.6.2</v>
      </c>
      <c r="V154" s="11" t="str">
        <f>IF($T154="حرجة",COUNTIF($T$4:$T154,"حرجة"),"")</f>
        <v/>
      </c>
    </row>
    <row r="155" spans="1:22" ht="40" customHeight="1" x14ac:dyDescent="0.3">
      <c r="A155" s="11">
        <v>152</v>
      </c>
      <c r="B155" s="10" t="s">
        <v>14</v>
      </c>
      <c r="C155" s="11" t="s">
        <v>628</v>
      </c>
      <c r="D155" s="12" t="s">
        <v>629</v>
      </c>
      <c r="E155" s="13" t="s">
        <v>630</v>
      </c>
      <c r="F155" s="10" t="s">
        <v>233</v>
      </c>
      <c r="G155" s="13" t="s">
        <v>631</v>
      </c>
      <c r="H155" s="14" t="s">
        <v>496</v>
      </c>
      <c r="I155" s="11" t="s">
        <v>64</v>
      </c>
      <c r="J155" s="11" t="s">
        <v>62</v>
      </c>
      <c r="K155" s="15">
        <f t="shared" si="20"/>
        <v>100</v>
      </c>
      <c r="L155" s="13" t="s">
        <v>254</v>
      </c>
      <c r="M155" s="11" t="s">
        <v>66</v>
      </c>
      <c r="N155" s="10" t="s">
        <v>102</v>
      </c>
      <c r="O155" s="13" t="s">
        <v>168</v>
      </c>
      <c r="P155" s="11" t="s">
        <v>69</v>
      </c>
      <c r="Q155" s="16">
        <v>46216</v>
      </c>
      <c r="R155" s="15" t="str">
        <f t="shared" si="21"/>
        <v>لا</v>
      </c>
      <c r="S155" s="17" t="str">
        <f t="shared" si="22"/>
        <v>—</v>
      </c>
      <c r="T155" s="15" t="str">
        <f t="shared" si="23"/>
        <v>—</v>
      </c>
      <c r="U155" s="11" t="str">
        <f t="shared" si="24"/>
        <v>ISO 10004:2018|7.6.3</v>
      </c>
      <c r="V155" s="11" t="str">
        <f>IF($T155="حرجة",COUNTIF($T$4:$T155,"حرجة"),"")</f>
        <v/>
      </c>
    </row>
    <row r="156" spans="1:22" ht="40" customHeight="1" x14ac:dyDescent="0.3">
      <c r="A156" s="11">
        <v>153</v>
      </c>
      <c r="B156" s="10" t="s">
        <v>14</v>
      </c>
      <c r="C156" s="11" t="s">
        <v>632</v>
      </c>
      <c r="D156" s="12" t="s">
        <v>633</v>
      </c>
      <c r="E156" s="13" t="s">
        <v>634</v>
      </c>
      <c r="F156" s="10" t="s">
        <v>233</v>
      </c>
      <c r="G156" s="13" t="s">
        <v>635</v>
      </c>
      <c r="H156" s="14" t="s">
        <v>496</v>
      </c>
      <c r="I156" s="11" t="s">
        <v>64</v>
      </c>
      <c r="J156" s="11" t="s">
        <v>83</v>
      </c>
      <c r="K156" s="15">
        <f t="shared" si="20"/>
        <v>0</v>
      </c>
      <c r="L156" s="13" t="s">
        <v>263</v>
      </c>
      <c r="M156" s="11" t="s">
        <v>109</v>
      </c>
      <c r="N156" s="10" t="s">
        <v>74</v>
      </c>
      <c r="O156" s="13" t="s">
        <v>281</v>
      </c>
      <c r="P156" s="11" t="s">
        <v>79</v>
      </c>
      <c r="Q156" s="16">
        <v>46219</v>
      </c>
      <c r="R156" s="15" t="str">
        <f t="shared" si="21"/>
        <v>نعم</v>
      </c>
      <c r="S156" s="17" t="str">
        <f t="shared" si="22"/>
        <v>تحليل فجوة + تدقيق</v>
      </c>
      <c r="T156" s="15" t="str">
        <f t="shared" si="23"/>
        <v>حرجة</v>
      </c>
      <c r="U156" s="11" t="str">
        <f t="shared" si="24"/>
        <v>ISO 10004:2018|7.6.4</v>
      </c>
      <c r="V156" s="11">
        <f>IF($T156="حرجة",COUNTIF($T$4:$T156,"حرجة"),"")</f>
        <v>17</v>
      </c>
    </row>
    <row r="157" spans="1:22" ht="40" customHeight="1" x14ac:dyDescent="0.3">
      <c r="A157" s="11">
        <v>154</v>
      </c>
      <c r="B157" s="10" t="s">
        <v>14</v>
      </c>
      <c r="C157" s="11" t="s">
        <v>636</v>
      </c>
      <c r="D157" s="12" t="s">
        <v>637</v>
      </c>
      <c r="E157" s="13" t="s">
        <v>638</v>
      </c>
      <c r="F157" s="10" t="s">
        <v>233</v>
      </c>
      <c r="G157" s="13" t="s">
        <v>639</v>
      </c>
      <c r="H157" s="14" t="s">
        <v>371</v>
      </c>
      <c r="I157" s="11" t="s">
        <v>64</v>
      </c>
      <c r="J157" s="11" t="s">
        <v>62</v>
      </c>
      <c r="K157" s="15">
        <f t="shared" si="20"/>
        <v>100</v>
      </c>
      <c r="L157" s="13" t="s">
        <v>254</v>
      </c>
      <c r="M157" s="11" t="s">
        <v>66</v>
      </c>
      <c r="N157" s="10" t="s">
        <v>63</v>
      </c>
      <c r="O157" s="13" t="s">
        <v>161</v>
      </c>
      <c r="P157" s="11" t="s">
        <v>89</v>
      </c>
      <c r="Q157" s="16">
        <v>46176</v>
      </c>
      <c r="R157" s="15" t="str">
        <f t="shared" si="21"/>
        <v>لا</v>
      </c>
      <c r="S157" s="17" t="str">
        <f t="shared" si="22"/>
        <v>—</v>
      </c>
      <c r="T157" s="15" t="str">
        <f t="shared" si="23"/>
        <v>—</v>
      </c>
      <c r="U157" s="11" t="str">
        <f t="shared" si="24"/>
        <v>ISO 10004:2018|7.6.5</v>
      </c>
      <c r="V157" s="11" t="str">
        <f>IF($T157="حرجة",COUNTIF($T$4:$T157,"حرجة"),"")</f>
        <v/>
      </c>
    </row>
    <row r="158" spans="1:22" ht="40" customHeight="1" x14ac:dyDescent="0.3">
      <c r="A158" s="11">
        <v>155</v>
      </c>
      <c r="B158" s="10" t="s">
        <v>14</v>
      </c>
      <c r="C158" s="11" t="s">
        <v>640</v>
      </c>
      <c r="D158" s="12" t="s">
        <v>641</v>
      </c>
      <c r="E158" s="13" t="s">
        <v>642</v>
      </c>
      <c r="F158" s="10" t="s">
        <v>233</v>
      </c>
      <c r="G158" s="13" t="s">
        <v>643</v>
      </c>
      <c r="H158" s="14" t="s">
        <v>371</v>
      </c>
      <c r="I158" s="11" t="s">
        <v>75</v>
      </c>
      <c r="J158" s="11" t="s">
        <v>73</v>
      </c>
      <c r="K158" s="15">
        <f t="shared" si="20"/>
        <v>50</v>
      </c>
      <c r="L158" s="13" t="s">
        <v>228</v>
      </c>
      <c r="M158" s="11" t="s">
        <v>66</v>
      </c>
      <c r="N158" s="10" t="s">
        <v>63</v>
      </c>
      <c r="O158" s="13" t="s">
        <v>143</v>
      </c>
      <c r="P158" s="11" t="s">
        <v>98</v>
      </c>
      <c r="Q158" s="16">
        <v>46179</v>
      </c>
      <c r="R158" s="15" t="str">
        <f t="shared" si="21"/>
        <v>نعم</v>
      </c>
      <c r="S158" s="17" t="str">
        <f t="shared" si="22"/>
        <v>تحليل فجوة</v>
      </c>
      <c r="T158" s="15" t="str">
        <f t="shared" si="23"/>
        <v>متوسطة</v>
      </c>
      <c r="U158" s="11" t="str">
        <f t="shared" si="24"/>
        <v>ISO 10004:2018|8</v>
      </c>
      <c r="V158" s="11" t="str">
        <f>IF($T158="حرجة",COUNTIF($T$4:$T158,"حرجة"),"")</f>
        <v/>
      </c>
    </row>
    <row r="159" spans="1:22" ht="40" customHeight="1" x14ac:dyDescent="0.3">
      <c r="A159" s="11">
        <v>156</v>
      </c>
      <c r="B159" s="10" t="s">
        <v>14</v>
      </c>
      <c r="C159" s="11" t="s">
        <v>372</v>
      </c>
      <c r="D159" s="12" t="s">
        <v>379</v>
      </c>
      <c r="E159" s="13" t="s">
        <v>644</v>
      </c>
      <c r="F159" s="10" t="s">
        <v>375</v>
      </c>
      <c r="G159" s="13" t="s">
        <v>381</v>
      </c>
      <c r="H159" s="14" t="s">
        <v>382</v>
      </c>
      <c r="I159" s="11" t="s">
        <v>85</v>
      </c>
      <c r="J159" s="11" t="s">
        <v>73</v>
      </c>
      <c r="K159" s="15">
        <f t="shared" si="20"/>
        <v>50</v>
      </c>
      <c r="L159" s="13" t="s">
        <v>175</v>
      </c>
      <c r="M159" s="11" t="s">
        <v>66</v>
      </c>
      <c r="N159" s="10" t="s">
        <v>94</v>
      </c>
      <c r="O159" s="13" t="s">
        <v>229</v>
      </c>
      <c r="P159" s="11" t="s">
        <v>69</v>
      </c>
      <c r="Q159" s="16">
        <v>46182</v>
      </c>
      <c r="R159" s="15" t="str">
        <f t="shared" si="21"/>
        <v>نعم</v>
      </c>
      <c r="S159" s="17" t="str">
        <f t="shared" si="22"/>
        <v>تحليل فجوة</v>
      </c>
      <c r="T159" s="15" t="str">
        <f t="shared" si="23"/>
        <v>منخفضة</v>
      </c>
      <c r="U159" s="11" t="str">
        <f t="shared" si="24"/>
        <v>ISO 10004:2018|الملحق A</v>
      </c>
      <c r="V159" s="11" t="str">
        <f>IF($T159="حرجة",COUNTIF($T$4:$T159,"حرجة"),"")</f>
        <v/>
      </c>
    </row>
    <row r="160" spans="1:22" ht="40" customHeight="1" x14ac:dyDescent="0.3">
      <c r="A160" s="11">
        <v>157</v>
      </c>
      <c r="B160" s="10" t="s">
        <v>14</v>
      </c>
      <c r="C160" s="11" t="s">
        <v>378</v>
      </c>
      <c r="D160" s="12" t="s">
        <v>645</v>
      </c>
      <c r="E160" s="13" t="s">
        <v>646</v>
      </c>
      <c r="F160" s="10" t="s">
        <v>375</v>
      </c>
      <c r="G160" s="13" t="s">
        <v>647</v>
      </c>
      <c r="H160" s="14" t="s">
        <v>536</v>
      </c>
      <c r="I160" s="11" t="s">
        <v>85</v>
      </c>
      <c r="J160" s="11" t="s">
        <v>73</v>
      </c>
      <c r="K160" s="15">
        <f t="shared" si="20"/>
        <v>50</v>
      </c>
      <c r="L160" s="13" t="s">
        <v>200</v>
      </c>
      <c r="M160" s="11" t="s">
        <v>95</v>
      </c>
      <c r="N160" s="10" t="s">
        <v>94</v>
      </c>
      <c r="O160" s="13" t="s">
        <v>176</v>
      </c>
      <c r="P160" s="11" t="s">
        <v>79</v>
      </c>
      <c r="Q160" s="16">
        <v>46185</v>
      </c>
      <c r="R160" s="15" t="str">
        <f t="shared" si="21"/>
        <v>نعم</v>
      </c>
      <c r="S160" s="17" t="str">
        <f t="shared" si="22"/>
        <v>تحليل فجوة</v>
      </c>
      <c r="T160" s="15" t="str">
        <f t="shared" si="23"/>
        <v>منخفضة</v>
      </c>
      <c r="U160" s="11" t="str">
        <f t="shared" si="24"/>
        <v>ISO 10004:2018|الملحق B</v>
      </c>
      <c r="V160" s="11" t="str">
        <f>IF($T160="حرجة",COUNTIF($T$4:$T160,"حرجة"),"")</f>
        <v/>
      </c>
    </row>
    <row r="161" spans="1:22" ht="40" customHeight="1" x14ac:dyDescent="0.3">
      <c r="A161" s="11">
        <v>158</v>
      </c>
      <c r="B161" s="10" t="s">
        <v>14</v>
      </c>
      <c r="C161" s="11" t="s">
        <v>384</v>
      </c>
      <c r="D161" s="12" t="s">
        <v>648</v>
      </c>
      <c r="E161" s="13" t="s">
        <v>649</v>
      </c>
      <c r="F161" s="10" t="s">
        <v>375</v>
      </c>
      <c r="G161" s="13" t="s">
        <v>650</v>
      </c>
      <c r="H161" s="14" t="s">
        <v>651</v>
      </c>
      <c r="I161" s="11" t="s">
        <v>75</v>
      </c>
      <c r="J161" s="11" t="s">
        <v>93</v>
      </c>
      <c r="K161" s="15" t="str">
        <f t="shared" si="20"/>
        <v/>
      </c>
      <c r="L161" s="13" t="s">
        <v>149</v>
      </c>
      <c r="M161" s="11" t="s">
        <v>66</v>
      </c>
      <c r="N161" s="10" t="s">
        <v>108</v>
      </c>
      <c r="O161" s="13" t="s">
        <v>150</v>
      </c>
      <c r="P161" s="11" t="s">
        <v>89</v>
      </c>
      <c r="Q161" s="16">
        <v>46188</v>
      </c>
      <c r="R161" s="15" t="str">
        <f t="shared" si="21"/>
        <v>لا</v>
      </c>
      <c r="S161" s="17" t="str">
        <f t="shared" si="22"/>
        <v>—</v>
      </c>
      <c r="T161" s="15" t="str">
        <f t="shared" si="23"/>
        <v>—</v>
      </c>
      <c r="U161" s="11" t="str">
        <f t="shared" si="24"/>
        <v>ISO 10004:2018|الملحق C</v>
      </c>
      <c r="V161" s="11" t="str">
        <f>IF($T161="حرجة",COUNTIF($T$4:$T161,"حرجة"),"")</f>
        <v/>
      </c>
    </row>
    <row r="162" spans="1:22" ht="40" customHeight="1" x14ac:dyDescent="0.3">
      <c r="A162" s="11">
        <v>159</v>
      </c>
      <c r="B162" s="10" t="s">
        <v>14</v>
      </c>
      <c r="C162" s="11" t="s">
        <v>389</v>
      </c>
      <c r="D162" s="12" t="s">
        <v>652</v>
      </c>
      <c r="E162" s="13" t="s">
        <v>653</v>
      </c>
      <c r="F162" s="10" t="s">
        <v>375</v>
      </c>
      <c r="G162" s="13" t="s">
        <v>654</v>
      </c>
      <c r="H162" s="14" t="s">
        <v>655</v>
      </c>
      <c r="I162" s="11" t="s">
        <v>64</v>
      </c>
      <c r="J162" s="11" t="s">
        <v>83</v>
      </c>
      <c r="K162" s="15">
        <f t="shared" si="20"/>
        <v>0</v>
      </c>
      <c r="L162" s="13" t="s">
        <v>383</v>
      </c>
      <c r="M162" s="11" t="s">
        <v>109</v>
      </c>
      <c r="N162" s="10" t="s">
        <v>74</v>
      </c>
      <c r="O162" s="13" t="s">
        <v>366</v>
      </c>
      <c r="P162" s="11" t="s">
        <v>98</v>
      </c>
      <c r="Q162" s="16">
        <v>46191</v>
      </c>
      <c r="R162" s="15" t="str">
        <f t="shared" si="21"/>
        <v>نعم</v>
      </c>
      <c r="S162" s="17" t="str">
        <f t="shared" si="22"/>
        <v>تحليل فجوة + تدقيق</v>
      </c>
      <c r="T162" s="15" t="str">
        <f t="shared" si="23"/>
        <v>حرجة</v>
      </c>
      <c r="U162" s="11" t="str">
        <f t="shared" si="24"/>
        <v>ISO 10004:2018|الملحق D</v>
      </c>
      <c r="V162" s="11">
        <f>IF($T162="حرجة",COUNTIF($T$4:$T162,"حرجة"),"")</f>
        <v>18</v>
      </c>
    </row>
    <row r="163" spans="1:22" ht="40" customHeight="1" x14ac:dyDescent="0.3">
      <c r="A163" s="11">
        <v>160</v>
      </c>
      <c r="B163" s="10" t="s">
        <v>14</v>
      </c>
      <c r="C163" s="11" t="s">
        <v>395</v>
      </c>
      <c r="D163" s="12" t="s">
        <v>656</v>
      </c>
      <c r="E163" s="13" t="s">
        <v>657</v>
      </c>
      <c r="F163" s="10" t="s">
        <v>375</v>
      </c>
      <c r="G163" s="13" t="s">
        <v>658</v>
      </c>
      <c r="H163" s="14" t="s">
        <v>659</v>
      </c>
      <c r="I163" s="11" t="s">
        <v>75</v>
      </c>
      <c r="J163" s="11" t="s">
        <v>62</v>
      </c>
      <c r="K163" s="15">
        <f t="shared" si="20"/>
        <v>100</v>
      </c>
      <c r="L163" s="13" t="s">
        <v>254</v>
      </c>
      <c r="M163" s="11" t="s">
        <v>95</v>
      </c>
      <c r="N163" s="10" t="s">
        <v>63</v>
      </c>
      <c r="O163" s="13" t="s">
        <v>161</v>
      </c>
      <c r="P163" s="11" t="s">
        <v>69</v>
      </c>
      <c r="Q163" s="16">
        <v>46194</v>
      </c>
      <c r="R163" s="15" t="str">
        <f t="shared" si="21"/>
        <v>لا</v>
      </c>
      <c r="S163" s="17" t="str">
        <f t="shared" si="22"/>
        <v>—</v>
      </c>
      <c r="T163" s="15" t="str">
        <f t="shared" si="23"/>
        <v>—</v>
      </c>
      <c r="U163" s="11" t="str">
        <f t="shared" si="24"/>
        <v>ISO 10004:2018|الملحق E</v>
      </c>
      <c r="V163" s="11" t="str">
        <f>IF($T163="حرجة",COUNTIF($T$4:$T163,"حرجة"),"")</f>
        <v/>
      </c>
    </row>
    <row r="164" spans="1:22" ht="40" customHeight="1" x14ac:dyDescent="0.3">
      <c r="A164" s="11">
        <v>161</v>
      </c>
      <c r="B164" s="10" t="s">
        <v>14</v>
      </c>
      <c r="C164" s="11" t="s">
        <v>400</v>
      </c>
      <c r="D164" s="12" t="s">
        <v>660</v>
      </c>
      <c r="E164" s="13" t="s">
        <v>661</v>
      </c>
      <c r="F164" s="10" t="s">
        <v>375</v>
      </c>
      <c r="G164" s="13" t="s">
        <v>662</v>
      </c>
      <c r="H164" s="14" t="s">
        <v>663</v>
      </c>
      <c r="I164" s="11" t="s">
        <v>75</v>
      </c>
      <c r="J164" s="11" t="s">
        <v>83</v>
      </c>
      <c r="K164" s="15">
        <f t="shared" si="20"/>
        <v>0</v>
      </c>
      <c r="L164" s="13" t="s">
        <v>280</v>
      </c>
      <c r="M164" s="11" t="s">
        <v>109</v>
      </c>
      <c r="N164" s="10" t="s">
        <v>84</v>
      </c>
      <c r="O164" s="13" t="s">
        <v>366</v>
      </c>
      <c r="P164" s="11" t="s">
        <v>79</v>
      </c>
      <c r="Q164" s="16">
        <v>46197</v>
      </c>
      <c r="R164" s="15" t="str">
        <f t="shared" si="21"/>
        <v>نعم</v>
      </c>
      <c r="S164" s="17" t="str">
        <f t="shared" si="22"/>
        <v>تحليل فجوة + تدقيق</v>
      </c>
      <c r="T164" s="15" t="str">
        <f t="shared" si="23"/>
        <v>عالية</v>
      </c>
      <c r="U164" s="11" t="str">
        <f t="shared" si="24"/>
        <v>ISO 10004:2018|الملحق F</v>
      </c>
      <c r="V164" s="11" t="str">
        <f>IF($T164="حرجة",COUNTIF($T$4:$T164,"حرجة"),"")</f>
        <v/>
      </c>
    </row>
  </sheetData>
  <autoFilter ref="A3:T164" xr:uid="{00000000-0009-0000-0000-000003000000}"/>
  <mergeCells count="2">
    <mergeCell ref="A1:T1"/>
    <mergeCell ref="A2:T2"/>
  </mergeCells>
  <conditionalFormatting sqref="B4:B164">
    <cfRule type="cellIs" dxfId="130" priority="1" operator="equal">
      <formula>"ISO 10001:2018"</formula>
    </cfRule>
    <cfRule type="cellIs" dxfId="129" priority="2" operator="equal">
      <formula>"ISO 10002:2018"</formula>
    </cfRule>
    <cfRule type="cellIs" dxfId="128" priority="3" operator="equal">
      <formula>"ISO 10004:2018"</formula>
    </cfRule>
    <cfRule type="cellIs" dxfId="127" priority="4" operator="equal">
      <formula>"ISO 23592:2021"</formula>
    </cfRule>
  </conditionalFormatting>
  <conditionalFormatting sqref="I4:I164">
    <cfRule type="cellIs" dxfId="126" priority="5" operator="equal">
      <formula>"عالية"</formula>
    </cfRule>
    <cfRule type="cellIs" dxfId="125" priority="6" operator="equal">
      <formula>"متوسطة"</formula>
    </cfRule>
    <cfRule type="cellIs" dxfId="124" priority="7" operator="equal">
      <formula>"منخفضة"</formula>
    </cfRule>
  </conditionalFormatting>
  <conditionalFormatting sqref="J4:J164">
    <cfRule type="cellIs" dxfId="123" priority="8" operator="equal">
      <formula>"مطبق كلياً"</formula>
    </cfRule>
    <cfRule type="cellIs" dxfId="122" priority="9" operator="equal">
      <formula>"مطبق جزئياً"</formula>
    </cfRule>
    <cfRule type="cellIs" dxfId="121" priority="10" operator="equal">
      <formula>"غير مطبق"</formula>
    </cfRule>
    <cfRule type="cellIs" dxfId="120" priority="11" operator="equal">
      <formula>"لا ينطبق"</formula>
    </cfRule>
    <cfRule type="cellIs" dxfId="119" priority="12" operator="equal">
      <formula>"لم يُقيَّم"</formula>
    </cfRule>
  </conditionalFormatting>
  <conditionalFormatting sqref="K4:K164">
    <cfRule type="colorScale" priority="13">
      <colorScale>
        <cfvo type="min"/>
        <cfvo type="percentile" val="50"/>
        <cfvo type="max"/>
        <color rgb="FFF8CECC"/>
        <color rgb="FFFFF2CC"/>
        <color rgb="FFD5E8D4"/>
      </colorScale>
    </cfRule>
  </conditionalFormatting>
  <conditionalFormatting sqref="M4:M164">
    <cfRule type="cellIs" dxfId="118" priority="14" operator="equal">
      <formula>"وثيقة"</formula>
    </cfRule>
    <cfRule type="cellIs" dxfId="117" priority="15" operator="equal">
      <formula>"سجل"</formula>
    </cfRule>
    <cfRule type="cellIs" dxfId="116" priority="16" operator="equal">
      <formula>"مقابلة"</formula>
    </cfRule>
    <cfRule type="cellIs" dxfId="115" priority="17" operator="equal">
      <formula>"معاينة ميدانية"</formula>
    </cfRule>
    <cfRule type="cellIs" dxfId="114" priority="18" operator="equal">
      <formula>"نظام إلكتروني"</formula>
    </cfRule>
    <cfRule type="cellIs" dxfId="113" priority="19" operator="equal">
      <formula>"لا يوجد"</formula>
    </cfRule>
  </conditionalFormatting>
  <conditionalFormatting sqref="N4:N164">
    <cfRule type="cellIs" dxfId="112" priority="20" operator="equal">
      <formula>"مطابق"</formula>
    </cfRule>
    <cfRule type="cellIs" dxfId="111" priority="21" operator="equal">
      <formula>"عدم مطابقة كبرى"</formula>
    </cfRule>
    <cfRule type="cellIs" dxfId="110" priority="22" operator="equal">
      <formula>"عدم مطابقة صغرى"</formula>
    </cfRule>
    <cfRule type="cellIs" dxfId="109" priority="23" operator="equal">
      <formula>"ملاحظة"</formula>
    </cfRule>
    <cfRule type="cellIs" dxfId="108" priority="24" operator="equal">
      <formula>"فرصة تحسين"</formula>
    </cfRule>
    <cfRule type="cellIs" dxfId="107" priority="25" operator="equal">
      <formula>"لم يُدقق"</formula>
    </cfRule>
  </conditionalFormatting>
  <conditionalFormatting sqref="P4:P164">
    <cfRule type="cellIs" dxfId="106" priority="26" operator="equal">
      <formula>"أ. خالد العتيبي"</formula>
    </cfRule>
    <cfRule type="cellIs" dxfId="105" priority="27" operator="equal">
      <formula>"أ. نورة الشمري"</formula>
    </cfRule>
    <cfRule type="cellIs" dxfId="104" priority="28" operator="equal">
      <formula>"م. سارة الحربي"</formula>
    </cfRule>
    <cfRule type="cellIs" dxfId="103" priority="29" operator="equal">
      <formula>"م. فيصل الدوسري"</formula>
    </cfRule>
  </conditionalFormatting>
  <conditionalFormatting sqref="R4:R164">
    <cfRule type="cellIs" dxfId="102" priority="30" operator="equal">
      <formula>"نعم"</formula>
    </cfRule>
    <cfRule type="cellIs" dxfId="101" priority="31" operator="equal">
      <formula>"لا"</formula>
    </cfRule>
  </conditionalFormatting>
  <conditionalFormatting sqref="S4:S164">
    <cfRule type="cellIs" dxfId="100" priority="32" operator="equal">
      <formula>"تحليل فجوة"</formula>
    </cfRule>
    <cfRule type="cellIs" dxfId="99" priority="33" operator="equal">
      <formula>"تدقيق داخلي"</formula>
    </cfRule>
    <cfRule type="cellIs" dxfId="98" priority="34" operator="equal">
      <formula>"تحليل فجوة + تدقيق"</formula>
    </cfRule>
  </conditionalFormatting>
  <conditionalFormatting sqref="S4:T164">
    <cfRule type="cellIs" dxfId="97" priority="35" operator="equal">
      <formula>"—"</formula>
    </cfRule>
  </conditionalFormatting>
  <conditionalFormatting sqref="T4:T164">
    <cfRule type="cellIs" dxfId="96" priority="36" operator="equal">
      <formula>"حرجة"</formula>
    </cfRule>
    <cfRule type="cellIs" dxfId="95" priority="37" operator="equal">
      <formula>"عالية"</formula>
    </cfRule>
    <cfRule type="cellIs" dxfId="94" priority="38" operator="equal">
      <formula>"متوسطة"</formula>
    </cfRule>
    <cfRule type="cellIs" dxfId="93" priority="39" operator="equal">
      <formula>"منخفضة"</formula>
    </cfRule>
  </conditionalFormatting>
  <dataValidations count="6">
    <dataValidation type="list" allowBlank="1" sqref="B4:B164" xr:uid="{00000000-0002-0000-0300-000000000000}">
      <formula1>"ISO 10001:2018,ISO 10002:2018,ISO 10004:2018,ISO 23592:2021"</formula1>
    </dataValidation>
    <dataValidation type="list" allowBlank="1" sqref="I4:I164" xr:uid="{00000000-0002-0000-0300-000001000000}">
      <formula1>"عالية,متوسطة,منخفضة"</formula1>
    </dataValidation>
    <dataValidation type="list" allowBlank="1" sqref="J4:J164" xr:uid="{00000000-0002-0000-0300-000002000000}">
      <formula1>"مطبق كلياً,مطبق جزئياً,غير مطبق,لا ينطبق,لم يُقيَّم"</formula1>
    </dataValidation>
    <dataValidation type="list" allowBlank="1" sqref="M4:M164" xr:uid="{00000000-0002-0000-0300-000003000000}">
      <formula1>"وثيقة,سجل,مقابلة,معاينة ميدانية,نظام إلكتروني,لا يوجد"</formula1>
    </dataValidation>
    <dataValidation type="list" allowBlank="1" sqref="N4:N164" xr:uid="{00000000-0002-0000-0300-000004000000}">
      <formula1>"مطابق,عدم مطابقة كبرى,عدم مطابقة صغرى,ملاحظة,فرصة تحسين,لم يُدقق"</formula1>
    </dataValidation>
    <dataValidation type="list" allowBlank="1" sqref="P4:P164" xr:uid="{00000000-0002-0000-0300-000005000000}">
      <formula1>"أ. خالد العتيبي,أ. نورة الشمري,م. سارة الحربي,م. فيصل الدوسري"</formula1>
    </dataValidation>
  </dataValidations>
  <printOptions horizontalCentered="1"/>
  <pageMargins left="0.25" right="0.25" top="0.4" bottom="0.4" header="0.2" footer="0.2"/>
  <pageSetup paperSize="8" fitToHeight="0" orientation="landscape"/>
  <headerFooter>
    <oddFooter>&amp;C&amp;8 &amp;K808080امتثال · Imtithal — IMT-ISE-IM-TMP-001 v1.0  ·  صفحة &amp;P من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8A84B"/>
    <pageSetUpPr fitToPage="1"/>
  </sheetPr>
  <dimension ref="A1:V164"/>
  <sheetViews>
    <sheetView rightToLeft="1" tabSelected="1" workbookViewId="0">
      <pane xSplit="4" ySplit="3" topLeftCell="E4" activePane="bottomRight" state="frozen"/>
      <selection pane="topRight"/>
      <selection pane="bottomLeft"/>
      <selection pane="bottomRight" sqref="A1:V1"/>
    </sheetView>
  </sheetViews>
  <sheetFormatPr defaultRowHeight="14" x14ac:dyDescent="0.3"/>
  <cols>
    <col min="1" max="1" width="5" customWidth="1"/>
    <col min="2" max="2" width="12" customWidth="1"/>
    <col min="3" max="3" width="17" customWidth="1"/>
    <col min="4" max="4" width="8" customWidth="1"/>
    <col min="5" max="5" width="38" customWidth="1"/>
    <col min="6" max="6" width="16" customWidth="1"/>
    <col min="7" max="7" width="13" customWidth="1"/>
    <col min="8" max="8" width="15" customWidth="1"/>
    <col min="9" max="9" width="11" customWidth="1"/>
    <col min="10" max="10" width="34" customWidth="1"/>
    <col min="11" max="11" width="24" customWidth="1"/>
    <col min="12" max="12" width="40" customWidth="1"/>
    <col min="13" max="13" width="17" customWidth="1"/>
    <col min="14" max="14" width="21" customWidth="1"/>
    <col min="15" max="15" width="17" customWidth="1"/>
    <col min="16" max="16" width="12" customWidth="1"/>
    <col min="17" max="18" width="13" customWidth="1"/>
    <col min="19" max="19" width="12" customWidth="1"/>
    <col min="20" max="20" width="16" customWidth="1"/>
    <col min="21" max="21" width="12" customWidth="1"/>
    <col min="22" max="22" width="13" customWidth="1"/>
  </cols>
  <sheetData>
    <row r="1" spans="1:22" ht="26" customHeight="1" x14ac:dyDescent="0.3">
      <c r="A1" s="35" t="s">
        <v>664</v>
      </c>
      <c r="B1" s="29"/>
      <c r="C1" s="29"/>
      <c r="D1" s="29"/>
      <c r="E1" s="29"/>
      <c r="F1" s="29"/>
      <c r="G1" s="29"/>
      <c r="H1" s="29"/>
      <c r="I1" s="29"/>
      <c r="J1" s="29"/>
      <c r="K1" s="29"/>
      <c r="L1" s="29"/>
      <c r="M1" s="29"/>
      <c r="N1" s="29"/>
      <c r="O1" s="29"/>
      <c r="P1" s="29"/>
      <c r="Q1" s="29"/>
      <c r="R1" s="29"/>
      <c r="S1" s="29"/>
      <c r="T1" s="29"/>
      <c r="U1" s="29"/>
      <c r="V1" s="29"/>
    </row>
    <row r="2" spans="1:22" ht="26" customHeight="1" x14ac:dyDescent="0.3">
      <c r="A2" s="36" t="s">
        <v>665</v>
      </c>
      <c r="B2" s="29"/>
      <c r="C2" s="29"/>
      <c r="D2" s="29"/>
      <c r="E2" s="29"/>
      <c r="F2" s="29"/>
      <c r="G2" s="29"/>
      <c r="H2" s="29"/>
      <c r="I2" s="29"/>
      <c r="J2" s="29"/>
      <c r="K2" s="29"/>
      <c r="L2" s="29"/>
      <c r="M2" s="29"/>
      <c r="N2" s="29"/>
      <c r="O2" s="29"/>
      <c r="P2" s="29"/>
      <c r="Q2" s="29"/>
      <c r="R2" s="29"/>
      <c r="S2" s="29"/>
      <c r="T2" s="29"/>
      <c r="U2" s="29"/>
      <c r="V2" s="29"/>
    </row>
    <row r="3" spans="1:22" ht="34" customHeight="1" x14ac:dyDescent="0.3">
      <c r="A3" s="8" t="s">
        <v>119</v>
      </c>
      <c r="B3" s="8" t="s">
        <v>666</v>
      </c>
      <c r="C3" s="8" t="s">
        <v>120</v>
      </c>
      <c r="D3" s="8" t="s">
        <v>121</v>
      </c>
      <c r="E3" s="8" t="s">
        <v>667</v>
      </c>
      <c r="F3" s="8" t="s">
        <v>133</v>
      </c>
      <c r="G3" s="8" t="s">
        <v>51</v>
      </c>
      <c r="H3" s="8" t="s">
        <v>52</v>
      </c>
      <c r="I3" s="8" t="s">
        <v>668</v>
      </c>
      <c r="J3" s="8" t="s">
        <v>669</v>
      </c>
      <c r="K3" s="8" t="s">
        <v>670</v>
      </c>
      <c r="L3" s="8" t="s">
        <v>671</v>
      </c>
      <c r="M3" s="8" t="s">
        <v>56</v>
      </c>
      <c r="N3" s="8" t="s">
        <v>57</v>
      </c>
      <c r="O3" s="8" t="s">
        <v>58</v>
      </c>
      <c r="P3" s="8" t="s">
        <v>672</v>
      </c>
      <c r="Q3" s="8" t="s">
        <v>673</v>
      </c>
      <c r="R3" s="8" t="s">
        <v>59</v>
      </c>
      <c r="S3" s="8" t="s">
        <v>674</v>
      </c>
      <c r="T3" s="8" t="s">
        <v>60</v>
      </c>
      <c r="U3" s="8" t="s">
        <v>675</v>
      </c>
      <c r="V3" s="8" t="s">
        <v>676</v>
      </c>
    </row>
    <row r="4" spans="1:22" ht="38" customHeight="1" x14ac:dyDescent="0.3">
      <c r="A4" s="15">
        <f>IF('تحليل الفجوة'!$R4="نعم",COUNTIF('تحليل الفجوة'!$R$4:'تحليل الفجوة'!$R4,"نعم"),"—")</f>
        <v>1</v>
      </c>
      <c r="B4" s="15" t="str">
        <f>'تحليل الفجوة'!$R4</f>
        <v>نعم</v>
      </c>
      <c r="C4" s="17" t="str">
        <f>IF($B4="لا","",'تحليل الفجوة'!$B4)</f>
        <v>ISO 23592:2021</v>
      </c>
      <c r="D4" s="17" t="str">
        <f>IF($B4="لا","",'تحليل الفجوة'!$C4)</f>
        <v>المقدمة</v>
      </c>
      <c r="E4" s="18" t="str">
        <f>IF($B4="لا","",'تحليل الفجوة'!$D4)</f>
        <v>المقدمة — هرم التميز في الخدمات وسلسلة الأثر</v>
      </c>
      <c r="F4" s="17" t="str">
        <f>IF($B4="لا","",'تحليل الفجوة'!$S4)</f>
        <v>تحليل فجوة</v>
      </c>
      <c r="G4" s="17" t="str">
        <f>IF($B4="لا","",'تحليل الفجوة'!$J4)</f>
        <v>مطبق جزئياً</v>
      </c>
      <c r="H4" s="17" t="str">
        <f>IF($B4="لا","",'تحليل الفجوة'!$N4)</f>
        <v>فرصة تحسين</v>
      </c>
      <c r="I4" s="17" t="str">
        <f>IF($B4="لا","",'تحليل الفجوة'!$T4)</f>
        <v>متوسطة</v>
      </c>
      <c r="J4" s="18" t="str">
        <f>IF($B4="لا","",'تحليل الفجوة'!$O4)</f>
        <v>الدورية غير منضبطة ولا يوجد تذكير أو مالك للمتابعة</v>
      </c>
      <c r="K4" s="18" t="str">
        <f>IF($B4="لا","",'تحليل الفجوة'!$H4)</f>
        <v>IMT-ISE-CR-MAN-001</v>
      </c>
      <c r="L4" s="13" t="s">
        <v>677</v>
      </c>
      <c r="M4" s="10" t="s">
        <v>87</v>
      </c>
      <c r="N4" s="10" t="s">
        <v>113</v>
      </c>
      <c r="O4" s="10" t="s">
        <v>69</v>
      </c>
      <c r="P4" s="16">
        <v>46255</v>
      </c>
      <c r="Q4" s="16">
        <v>46295</v>
      </c>
      <c r="R4" s="11" t="s">
        <v>70</v>
      </c>
      <c r="S4" s="11">
        <v>0</v>
      </c>
      <c r="T4" s="10" t="s">
        <v>71</v>
      </c>
      <c r="U4" s="16"/>
      <c r="V4" s="15" t="str">
        <f t="shared" ref="V4:V35" ca="1" si="0">IF($B4="لا","—",IF($R4="مكتمل","مغلق",IF($Q4="","—",IF($Q4&lt;TODAY(),"متأخر","ضمن المدة"))))</f>
        <v>ضمن المدة</v>
      </c>
    </row>
    <row r="5" spans="1:22" ht="38" hidden="1" customHeight="1" x14ac:dyDescent="0.3">
      <c r="A5" s="15" t="str">
        <f>IF('تحليل الفجوة'!$R5="نعم",COUNTIF('تحليل الفجوة'!$R$4:'تحليل الفجوة'!$R5,"نعم"),"—")</f>
        <v>—</v>
      </c>
      <c r="B5" s="15" t="str">
        <f>'تحليل الفجوة'!$R5</f>
        <v>لا</v>
      </c>
      <c r="C5" s="17" t="str">
        <f>IF($B5="لا","",'تحليل الفجوة'!$B5)</f>
        <v/>
      </c>
      <c r="D5" s="17" t="str">
        <f>IF($B5="لا","",'تحليل الفجوة'!$C5)</f>
        <v/>
      </c>
      <c r="E5" s="18" t="str">
        <f>IF($B5="لا","",'تحليل الفجوة'!$D5)</f>
        <v/>
      </c>
      <c r="F5" s="17" t="str">
        <f>IF($B5="لا","",'تحليل الفجوة'!$S5)</f>
        <v/>
      </c>
      <c r="G5" s="17" t="str">
        <f>IF($B5="لا","",'تحليل الفجوة'!$J5)</f>
        <v/>
      </c>
      <c r="H5" s="17" t="str">
        <f>IF($B5="لا","",'تحليل الفجوة'!$N5)</f>
        <v/>
      </c>
      <c r="I5" s="17" t="str">
        <f>IF($B5="لا","",'تحليل الفجوة'!$T5)</f>
        <v/>
      </c>
      <c r="J5" s="18" t="str">
        <f>IF($B5="لا","",'تحليل الفجوة'!$O5)</f>
        <v/>
      </c>
      <c r="K5" s="18" t="str">
        <f>IF($B5="لا","",'تحليل الفجوة'!$H5)</f>
        <v/>
      </c>
      <c r="L5" s="19"/>
      <c r="M5" s="19"/>
      <c r="N5" s="19"/>
      <c r="O5" s="19"/>
      <c r="P5" s="19"/>
      <c r="Q5" s="19"/>
      <c r="R5" s="19"/>
      <c r="S5" s="19"/>
      <c r="T5" s="19"/>
      <c r="U5" s="19"/>
      <c r="V5" s="15" t="str">
        <f t="shared" ca="1" si="0"/>
        <v>—</v>
      </c>
    </row>
    <row r="6" spans="1:22" ht="38" hidden="1" customHeight="1" x14ac:dyDescent="0.3">
      <c r="A6" s="15" t="str">
        <f>IF('تحليل الفجوة'!$R6="نعم",COUNTIF('تحليل الفجوة'!$R$4:'تحليل الفجوة'!$R6,"نعم"),"—")</f>
        <v>—</v>
      </c>
      <c r="B6" s="15" t="str">
        <f>'تحليل الفجوة'!$R6</f>
        <v>لا</v>
      </c>
      <c r="C6" s="17" t="str">
        <f>IF($B6="لا","",'تحليل الفجوة'!$B6)</f>
        <v/>
      </c>
      <c r="D6" s="17" t="str">
        <f>IF($B6="لا","",'تحليل الفجوة'!$C6)</f>
        <v/>
      </c>
      <c r="E6" s="18" t="str">
        <f>IF($B6="لا","",'تحليل الفجوة'!$D6)</f>
        <v/>
      </c>
      <c r="F6" s="17" t="str">
        <f>IF($B6="لا","",'تحليل الفجوة'!$S6)</f>
        <v/>
      </c>
      <c r="G6" s="17" t="str">
        <f>IF($B6="لا","",'تحليل الفجوة'!$J6)</f>
        <v/>
      </c>
      <c r="H6" s="17" t="str">
        <f>IF($B6="لا","",'تحليل الفجوة'!$N6)</f>
        <v/>
      </c>
      <c r="I6" s="17" t="str">
        <f>IF($B6="لا","",'تحليل الفجوة'!$T6)</f>
        <v/>
      </c>
      <c r="J6" s="18" t="str">
        <f>IF($B6="لا","",'تحليل الفجوة'!$O6)</f>
        <v/>
      </c>
      <c r="K6" s="18" t="str">
        <f>IF($B6="لا","",'تحليل الفجوة'!$H6)</f>
        <v/>
      </c>
      <c r="L6" s="19"/>
      <c r="M6" s="19"/>
      <c r="N6" s="19"/>
      <c r="O6" s="19"/>
      <c r="P6" s="19"/>
      <c r="Q6" s="19"/>
      <c r="R6" s="19"/>
      <c r="S6" s="19"/>
      <c r="T6" s="19"/>
      <c r="U6" s="19"/>
      <c r="V6" s="15" t="str">
        <f t="shared" ca="1" si="0"/>
        <v>—</v>
      </c>
    </row>
    <row r="7" spans="1:22" ht="38" hidden="1" customHeight="1" x14ac:dyDescent="0.3">
      <c r="A7" s="15" t="str">
        <f>IF('تحليل الفجوة'!$R7="نعم",COUNTIF('تحليل الفجوة'!$R$4:'تحليل الفجوة'!$R7,"نعم"),"—")</f>
        <v>—</v>
      </c>
      <c r="B7" s="15" t="str">
        <f>'تحليل الفجوة'!$R7</f>
        <v>لا</v>
      </c>
      <c r="C7" s="17" t="str">
        <f>IF($B7="لا","",'تحليل الفجوة'!$B7)</f>
        <v/>
      </c>
      <c r="D7" s="17" t="str">
        <f>IF($B7="لا","",'تحليل الفجوة'!$C7)</f>
        <v/>
      </c>
      <c r="E7" s="18" t="str">
        <f>IF($B7="لا","",'تحليل الفجوة'!$D7)</f>
        <v/>
      </c>
      <c r="F7" s="17" t="str">
        <f>IF($B7="لا","",'تحليل الفجوة'!$S7)</f>
        <v/>
      </c>
      <c r="G7" s="17" t="str">
        <f>IF($B7="لا","",'تحليل الفجوة'!$J7)</f>
        <v/>
      </c>
      <c r="H7" s="17" t="str">
        <f>IF($B7="لا","",'تحليل الفجوة'!$N7)</f>
        <v/>
      </c>
      <c r="I7" s="17" t="str">
        <f>IF($B7="لا","",'تحليل الفجوة'!$T7)</f>
        <v/>
      </c>
      <c r="J7" s="18" t="str">
        <f>IF($B7="لا","",'تحليل الفجوة'!$O7)</f>
        <v/>
      </c>
      <c r="K7" s="18" t="str">
        <f>IF($B7="لا","",'تحليل الفجوة'!$H7)</f>
        <v/>
      </c>
      <c r="L7" s="19"/>
      <c r="M7" s="19"/>
      <c r="N7" s="19"/>
      <c r="O7" s="19"/>
      <c r="P7" s="19"/>
      <c r="Q7" s="19"/>
      <c r="R7" s="19"/>
      <c r="S7" s="19"/>
      <c r="T7" s="19"/>
      <c r="U7" s="19"/>
      <c r="V7" s="15" t="str">
        <f t="shared" ca="1" si="0"/>
        <v>—</v>
      </c>
    </row>
    <row r="8" spans="1:22" ht="38" hidden="1" customHeight="1" x14ac:dyDescent="0.3">
      <c r="A8" s="15" t="str">
        <f>IF('تحليل الفجوة'!$R8="نعم",COUNTIF('تحليل الفجوة'!$R$4:'تحليل الفجوة'!$R8,"نعم"),"—")</f>
        <v>—</v>
      </c>
      <c r="B8" s="15" t="str">
        <f>'تحليل الفجوة'!$R8</f>
        <v>لا</v>
      </c>
      <c r="C8" s="17" t="str">
        <f>IF($B8="لا","",'تحليل الفجوة'!$B8)</f>
        <v/>
      </c>
      <c r="D8" s="17" t="str">
        <f>IF($B8="لا","",'تحليل الفجوة'!$C8)</f>
        <v/>
      </c>
      <c r="E8" s="18" t="str">
        <f>IF($B8="لا","",'تحليل الفجوة'!$D8)</f>
        <v/>
      </c>
      <c r="F8" s="17" t="str">
        <f>IF($B8="لا","",'تحليل الفجوة'!$S8)</f>
        <v/>
      </c>
      <c r="G8" s="17" t="str">
        <f>IF($B8="لا","",'تحليل الفجوة'!$J8)</f>
        <v/>
      </c>
      <c r="H8" s="17" t="str">
        <f>IF($B8="لا","",'تحليل الفجوة'!$N8)</f>
        <v/>
      </c>
      <c r="I8" s="17" t="str">
        <f>IF($B8="لا","",'تحليل الفجوة'!$T8)</f>
        <v/>
      </c>
      <c r="J8" s="18" t="str">
        <f>IF($B8="لا","",'تحليل الفجوة'!$O8)</f>
        <v/>
      </c>
      <c r="K8" s="18" t="str">
        <f>IF($B8="لا","",'تحليل الفجوة'!$H8)</f>
        <v/>
      </c>
      <c r="L8" s="19"/>
      <c r="M8" s="19"/>
      <c r="N8" s="19"/>
      <c r="O8" s="19"/>
      <c r="P8" s="19"/>
      <c r="Q8" s="19"/>
      <c r="R8" s="19"/>
      <c r="S8" s="19"/>
      <c r="T8" s="19"/>
      <c r="U8" s="19"/>
      <c r="V8" s="15" t="str">
        <f t="shared" ca="1" si="0"/>
        <v>—</v>
      </c>
    </row>
    <row r="9" spans="1:22" ht="38" customHeight="1" x14ac:dyDescent="0.3">
      <c r="A9" s="15">
        <f>IF('تحليل الفجوة'!$R9="نعم",COUNTIF('تحليل الفجوة'!$R$4:'تحليل الفجوة'!$R9,"نعم"),"—")</f>
        <v>2</v>
      </c>
      <c r="B9" s="15" t="str">
        <f>'تحليل الفجوة'!$R9</f>
        <v>نعم</v>
      </c>
      <c r="C9" s="17" t="str">
        <f>IF($B9="لا","",'تحليل الفجوة'!$B9)</f>
        <v>ISO 23592:2021</v>
      </c>
      <c r="D9" s="17" t="str">
        <f>IF($B9="لا","",'تحليل الفجوة'!$C9)</f>
        <v>5</v>
      </c>
      <c r="E9" s="18" t="str">
        <f>IF($B9="لا","",'تحليل الفجوة'!$D9)</f>
        <v>مبادئ التميز في الخدمات (سبعة مبادئ)</v>
      </c>
      <c r="F9" s="17" t="str">
        <f>IF($B9="لا","",'تحليل الفجوة'!$S9)</f>
        <v>تحليل فجوة + تدقيق</v>
      </c>
      <c r="G9" s="17" t="str">
        <f>IF($B9="لا","",'تحليل الفجوة'!$J9)</f>
        <v>مطبق جزئياً</v>
      </c>
      <c r="H9" s="17" t="str">
        <f>IF($B9="لا","",'تحليل الفجوة'!$N9)</f>
        <v>عدم مطابقة صغرى</v>
      </c>
      <c r="I9" s="17" t="str">
        <f>IF($B9="لا","",'تحليل الفجوة'!$T9)</f>
        <v>عالية</v>
      </c>
      <c r="J9" s="18" t="str">
        <f>IF($B9="لا","",'تحليل الفجوة'!$O9)</f>
        <v>الوثيقة موجودة والسجل غير مفعَّل — الفجوة في التشغيل لا في التوثيق</v>
      </c>
      <c r="K9" s="18" t="str">
        <f>IF($B9="لا","",'تحليل الفجوة'!$H9)</f>
        <v>IMT-ISE-CR-CHT-001</v>
      </c>
      <c r="L9" s="13" t="s">
        <v>678</v>
      </c>
      <c r="M9" s="10" t="s">
        <v>96</v>
      </c>
      <c r="N9" s="10" t="s">
        <v>68</v>
      </c>
      <c r="O9" s="10" t="s">
        <v>79</v>
      </c>
      <c r="P9" s="16">
        <v>46221</v>
      </c>
      <c r="Q9" s="16">
        <v>46256</v>
      </c>
      <c r="R9" s="11" t="s">
        <v>90</v>
      </c>
      <c r="S9" s="11">
        <v>100</v>
      </c>
      <c r="T9" s="10" t="s">
        <v>91</v>
      </c>
      <c r="U9" s="16">
        <v>46246</v>
      </c>
      <c r="V9" s="15" t="str">
        <f t="shared" ca="1" si="0"/>
        <v>مغلق</v>
      </c>
    </row>
    <row r="10" spans="1:22" ht="38" hidden="1" customHeight="1" x14ac:dyDescent="0.3">
      <c r="A10" s="15" t="str">
        <f>IF('تحليل الفجوة'!$R10="نعم",COUNTIF('تحليل الفجوة'!$R$4:'تحليل الفجوة'!$R10,"نعم"),"—")</f>
        <v>—</v>
      </c>
      <c r="B10" s="15" t="str">
        <f>'تحليل الفجوة'!$R10</f>
        <v>لا</v>
      </c>
      <c r="C10" s="17" t="str">
        <f>IF($B10="لا","",'تحليل الفجوة'!$B10)</f>
        <v/>
      </c>
      <c r="D10" s="17" t="str">
        <f>IF($B10="لا","",'تحليل الفجوة'!$C10)</f>
        <v/>
      </c>
      <c r="E10" s="18" t="str">
        <f>IF($B10="لا","",'تحليل الفجوة'!$D10)</f>
        <v/>
      </c>
      <c r="F10" s="17" t="str">
        <f>IF($B10="لا","",'تحليل الفجوة'!$S10)</f>
        <v/>
      </c>
      <c r="G10" s="17" t="str">
        <f>IF($B10="لا","",'تحليل الفجوة'!$J10)</f>
        <v/>
      </c>
      <c r="H10" s="17" t="str">
        <f>IF($B10="لا","",'تحليل الفجوة'!$N10)</f>
        <v/>
      </c>
      <c r="I10" s="17" t="str">
        <f>IF($B10="لا","",'تحليل الفجوة'!$T10)</f>
        <v/>
      </c>
      <c r="J10" s="18" t="str">
        <f>IF($B10="لا","",'تحليل الفجوة'!$O10)</f>
        <v/>
      </c>
      <c r="K10" s="18" t="str">
        <f>IF($B10="لا","",'تحليل الفجوة'!$H10)</f>
        <v/>
      </c>
      <c r="L10" s="19"/>
      <c r="M10" s="19"/>
      <c r="N10" s="19"/>
      <c r="O10" s="19"/>
      <c r="P10" s="19"/>
      <c r="Q10" s="19"/>
      <c r="R10" s="19"/>
      <c r="S10" s="19"/>
      <c r="T10" s="19"/>
      <c r="U10" s="19"/>
      <c r="V10" s="15" t="str">
        <f t="shared" ca="1" si="0"/>
        <v>—</v>
      </c>
    </row>
    <row r="11" spans="1:22" ht="38" customHeight="1" x14ac:dyDescent="0.3">
      <c r="A11" s="15">
        <f>IF('تحليل الفجوة'!$R11="نعم",COUNTIF('تحليل الفجوة'!$R$4:'تحليل الفجوة'!$R11,"نعم"),"—")</f>
        <v>3</v>
      </c>
      <c r="B11" s="15" t="str">
        <f>'تحليل الفجوة'!$R11</f>
        <v>نعم</v>
      </c>
      <c r="C11" s="17" t="str">
        <f>IF($B11="لا","",'تحليل الفجوة'!$B11)</f>
        <v>ISO 23592:2021</v>
      </c>
      <c r="D11" s="17" t="str">
        <f>IF($B11="لا","",'تحليل الفجوة'!$C11)</f>
        <v>7.1.1</v>
      </c>
      <c r="E11" s="18" t="str">
        <f>IF($B11="لا","",'تحليل الفجوة'!$D11)</f>
        <v>رؤية ورسالة واستراتيجية التميز في الخدمات</v>
      </c>
      <c r="F11" s="17" t="str">
        <f>IF($B11="لا","",'تحليل الفجوة'!$S11)</f>
        <v>تحليل فجوة</v>
      </c>
      <c r="G11" s="17" t="str">
        <f>IF($B11="لا","",'تحليل الفجوة'!$J11)</f>
        <v>غير مطبق</v>
      </c>
      <c r="H11" s="17" t="str">
        <f>IF($B11="لا","",'تحليل الفجوة'!$N11)</f>
        <v>ملاحظة</v>
      </c>
      <c r="I11" s="17" t="str">
        <f>IF($B11="لا","",'تحليل الفجوة'!$T11)</f>
        <v>حرجة</v>
      </c>
      <c r="J11" s="18" t="str">
        <f>IF($B11="لا","",'تحليل الفجوة'!$O11)</f>
        <v>لا يوجد مصدر قياس يسمح بإثبات التطبيق</v>
      </c>
      <c r="K11" s="18" t="str">
        <f>IF($B11="لا","",'تحليل الفجوة'!$H11)</f>
        <v>IMT-ISE-CR-POL-001</v>
      </c>
      <c r="L11" s="13" t="s">
        <v>679</v>
      </c>
      <c r="M11" s="10" t="s">
        <v>104</v>
      </c>
      <c r="N11" s="10" t="s">
        <v>68</v>
      </c>
      <c r="O11" s="10" t="s">
        <v>98</v>
      </c>
      <c r="P11" s="16">
        <v>46233</v>
      </c>
      <c r="Q11" s="16">
        <v>46323</v>
      </c>
      <c r="R11" s="11" t="s">
        <v>80</v>
      </c>
      <c r="S11" s="11">
        <v>75</v>
      </c>
      <c r="T11" s="10" t="s">
        <v>81</v>
      </c>
      <c r="U11" s="16"/>
      <c r="V11" s="15" t="str">
        <f t="shared" ca="1" si="0"/>
        <v>ضمن المدة</v>
      </c>
    </row>
    <row r="12" spans="1:22" ht="38" hidden="1" customHeight="1" x14ac:dyDescent="0.3">
      <c r="A12" s="15" t="str">
        <f>IF('تحليل الفجوة'!$R12="نعم",COUNTIF('تحليل الفجوة'!$R$4:'تحليل الفجوة'!$R12,"نعم"),"—")</f>
        <v>—</v>
      </c>
      <c r="B12" s="15" t="str">
        <f>'تحليل الفجوة'!$R12</f>
        <v>لا</v>
      </c>
      <c r="C12" s="17" t="str">
        <f>IF($B12="لا","",'تحليل الفجوة'!$B12)</f>
        <v/>
      </c>
      <c r="D12" s="17" t="str">
        <f>IF($B12="لا","",'تحليل الفجوة'!$C12)</f>
        <v/>
      </c>
      <c r="E12" s="18" t="str">
        <f>IF($B12="لا","",'تحليل الفجوة'!$D12)</f>
        <v/>
      </c>
      <c r="F12" s="17" t="str">
        <f>IF($B12="لا","",'تحليل الفجوة'!$S12)</f>
        <v/>
      </c>
      <c r="G12" s="17" t="str">
        <f>IF($B12="لا","",'تحليل الفجوة'!$J12)</f>
        <v/>
      </c>
      <c r="H12" s="17" t="str">
        <f>IF($B12="لا","",'تحليل الفجوة'!$N12)</f>
        <v/>
      </c>
      <c r="I12" s="17" t="str">
        <f>IF($B12="لا","",'تحليل الفجوة'!$T12)</f>
        <v/>
      </c>
      <c r="J12" s="18" t="str">
        <f>IF($B12="لا","",'تحليل الفجوة'!$O12)</f>
        <v/>
      </c>
      <c r="K12" s="18" t="str">
        <f>IF($B12="لا","",'تحليل الفجوة'!$H12)</f>
        <v/>
      </c>
      <c r="L12" s="19"/>
      <c r="M12" s="19"/>
      <c r="N12" s="19"/>
      <c r="O12" s="19"/>
      <c r="P12" s="19"/>
      <c r="Q12" s="19"/>
      <c r="R12" s="19"/>
      <c r="S12" s="19"/>
      <c r="T12" s="19"/>
      <c r="U12" s="19"/>
      <c r="V12" s="15" t="str">
        <f t="shared" ca="1" si="0"/>
        <v>—</v>
      </c>
    </row>
    <row r="13" spans="1:22" ht="38" customHeight="1" x14ac:dyDescent="0.3">
      <c r="A13" s="15">
        <f>IF('تحليل الفجوة'!$R13="نعم",COUNTIF('تحليل الفجوة'!$R$4:'تحليل الفجوة'!$R13,"نعم"),"—")</f>
        <v>4</v>
      </c>
      <c r="B13" s="15" t="str">
        <f>'تحليل الفجوة'!$R13</f>
        <v>نعم</v>
      </c>
      <c r="C13" s="17" t="str">
        <f>IF($B13="لا","",'تحليل الفجوة'!$B13)</f>
        <v>ISO 23592:2021</v>
      </c>
      <c r="D13" s="17" t="str">
        <f>IF($B13="لا","",'تحليل الفجوة'!$C13)</f>
        <v>7.2.1</v>
      </c>
      <c r="E13" s="18" t="str">
        <f>IF($B13="لا","",'تحليل الفجوة'!$D13)</f>
        <v>ثقافة التميز في الخدمات</v>
      </c>
      <c r="F13" s="17" t="str">
        <f>IF($B13="لا","",'تحليل الفجوة'!$S13)</f>
        <v>تحليل فجوة + تدقيق</v>
      </c>
      <c r="G13" s="17" t="str">
        <f>IF($B13="لا","",'تحليل الفجوة'!$J13)</f>
        <v>مطبق جزئياً</v>
      </c>
      <c r="H13" s="17" t="str">
        <f>IF($B13="لا","",'تحليل الفجوة'!$N13)</f>
        <v>عدم مطابقة صغرى</v>
      </c>
      <c r="I13" s="17" t="str">
        <f>IF($B13="لا","",'تحليل الفجوة'!$T13)</f>
        <v>عالية</v>
      </c>
      <c r="J13" s="18" t="str">
        <f>IF($B13="لا","",'تحليل الفجوة'!$O13)</f>
        <v>الوثيقة موجودة والسجل غير مفعَّل — الفجوة في التشغيل لا في التوثيق</v>
      </c>
      <c r="K13" s="18" t="str">
        <f>IF($B13="لا","",'تحليل الفجوة'!$H13)</f>
        <v>IMT-ISE-SE-PRO-001</v>
      </c>
      <c r="L13" s="13" t="s">
        <v>678</v>
      </c>
      <c r="M13" s="10" t="s">
        <v>96</v>
      </c>
      <c r="N13" s="10" t="s">
        <v>113</v>
      </c>
      <c r="O13" s="10" t="s">
        <v>98</v>
      </c>
      <c r="P13" s="16">
        <v>46239</v>
      </c>
      <c r="Q13" s="16">
        <v>46274</v>
      </c>
      <c r="R13" s="11" t="s">
        <v>80</v>
      </c>
      <c r="S13" s="11">
        <v>50</v>
      </c>
      <c r="T13" s="10" t="s">
        <v>81</v>
      </c>
      <c r="U13" s="16"/>
      <c r="V13" s="15" t="str">
        <f t="shared" ca="1" si="0"/>
        <v>ضمن المدة</v>
      </c>
    </row>
    <row r="14" spans="1:22" ht="38" hidden="1" customHeight="1" x14ac:dyDescent="0.3">
      <c r="A14" s="15" t="str">
        <f>IF('تحليل الفجوة'!$R14="نعم",COUNTIF('تحليل الفجوة'!$R$4:'تحليل الفجوة'!$R14,"نعم"),"—")</f>
        <v>—</v>
      </c>
      <c r="B14" s="15" t="str">
        <f>'تحليل الفجوة'!$R14</f>
        <v>لا</v>
      </c>
      <c r="C14" s="17" t="str">
        <f>IF($B14="لا","",'تحليل الفجوة'!$B14)</f>
        <v/>
      </c>
      <c r="D14" s="17" t="str">
        <f>IF($B14="لا","",'تحليل الفجوة'!$C14)</f>
        <v/>
      </c>
      <c r="E14" s="18" t="str">
        <f>IF($B14="لا","",'تحليل الفجوة'!$D14)</f>
        <v/>
      </c>
      <c r="F14" s="17" t="str">
        <f>IF($B14="لا","",'تحليل الفجوة'!$S14)</f>
        <v/>
      </c>
      <c r="G14" s="17" t="str">
        <f>IF($B14="لا","",'تحليل الفجوة'!$J14)</f>
        <v/>
      </c>
      <c r="H14" s="17" t="str">
        <f>IF($B14="لا","",'تحليل الفجوة'!$N14)</f>
        <v/>
      </c>
      <c r="I14" s="17" t="str">
        <f>IF($B14="لا","",'تحليل الفجوة'!$T14)</f>
        <v/>
      </c>
      <c r="J14" s="18" t="str">
        <f>IF($B14="لا","",'تحليل الفجوة'!$O14)</f>
        <v/>
      </c>
      <c r="K14" s="18" t="str">
        <f>IF($B14="لا","",'تحليل الفجوة'!$H14)</f>
        <v/>
      </c>
      <c r="L14" s="19"/>
      <c r="M14" s="19"/>
      <c r="N14" s="19"/>
      <c r="O14" s="19"/>
      <c r="P14" s="19"/>
      <c r="Q14" s="19"/>
      <c r="R14" s="19"/>
      <c r="S14" s="19"/>
      <c r="T14" s="19"/>
      <c r="U14" s="19"/>
      <c r="V14" s="15" t="str">
        <f t="shared" ca="1" si="0"/>
        <v>—</v>
      </c>
    </row>
    <row r="15" spans="1:22" ht="38" customHeight="1" x14ac:dyDescent="0.3">
      <c r="A15" s="15">
        <f>IF('تحليل الفجوة'!$R15="نعم",COUNTIF('تحليل الفجوة'!$R$4:'تحليل الفجوة'!$R15,"نعم"),"—")</f>
        <v>5</v>
      </c>
      <c r="B15" s="15" t="str">
        <f>'تحليل الفجوة'!$R15</f>
        <v>نعم</v>
      </c>
      <c r="C15" s="17" t="str">
        <f>IF($B15="لا","",'تحليل الفجوة'!$B15)</f>
        <v>ISO 23592:2021</v>
      </c>
      <c r="D15" s="17" t="str">
        <f>IF($B15="لا","",'تحليل الفجوة'!$C15)</f>
        <v>7.3.1</v>
      </c>
      <c r="E15" s="18" t="str">
        <f>IF($B15="لا","",'تحليل الفجوة'!$D15)</f>
        <v>فهم احتياجات المستفيدين وتوقعاتهم ورغباتهم</v>
      </c>
      <c r="F15" s="17" t="str">
        <f>IF($B15="لا","",'تحليل الفجوة'!$S15)</f>
        <v>تحليل فجوة + تدقيق</v>
      </c>
      <c r="G15" s="17" t="str">
        <f>IF($B15="لا","",'تحليل الفجوة'!$J15)</f>
        <v>غير مطبق</v>
      </c>
      <c r="H15" s="17" t="str">
        <f>IF($B15="لا","",'تحليل الفجوة'!$N15)</f>
        <v>عدم مطابقة كبرى</v>
      </c>
      <c r="I15" s="17" t="str">
        <f>IF($B15="لا","",'تحليل الفجوة'!$T15)</f>
        <v>حرجة</v>
      </c>
      <c r="J15" s="18" t="str">
        <f>IF($B15="لا","",'تحليل الفجوة'!$O15)</f>
        <v>البند غير مدرج في أي إجراء معتمد لدى الجهة</v>
      </c>
      <c r="K15" s="18" t="str">
        <f>IF($B15="لا","",'تحليل الفجوة'!$H15)</f>
        <v>IMT-ISE-SE-PRO-002</v>
      </c>
      <c r="L15" s="13" t="s">
        <v>680</v>
      </c>
      <c r="M15" s="10" t="s">
        <v>77</v>
      </c>
      <c r="N15" s="10" t="s">
        <v>113</v>
      </c>
      <c r="O15" s="10" t="s">
        <v>106</v>
      </c>
      <c r="P15" s="16">
        <v>46258</v>
      </c>
      <c r="Q15" s="16">
        <v>46333</v>
      </c>
      <c r="R15" s="11" t="s">
        <v>107</v>
      </c>
      <c r="S15" s="11">
        <v>0</v>
      </c>
      <c r="T15" s="10" t="s">
        <v>71</v>
      </c>
      <c r="U15" s="16"/>
      <c r="V15" s="15" t="str">
        <f t="shared" ca="1" si="0"/>
        <v>ضمن المدة</v>
      </c>
    </row>
    <row r="16" spans="1:22" ht="38" customHeight="1" x14ac:dyDescent="0.3">
      <c r="A16" s="15">
        <f>IF('تحليل الفجوة'!$R16="نعم",COUNTIF('تحليل الفجوة'!$R$4:'تحليل الفجوة'!$R16,"نعم"),"—")</f>
        <v>6</v>
      </c>
      <c r="B16" s="15" t="str">
        <f>'تحليل الفجوة'!$R16</f>
        <v>نعم</v>
      </c>
      <c r="C16" s="17" t="str">
        <f>IF($B16="لا","",'تحليل الفجوة'!$B16)</f>
        <v>ISO 23592:2021</v>
      </c>
      <c r="D16" s="17" t="str">
        <f>IF($B16="لا","",'تحليل الفجوة'!$C16)</f>
        <v>7.3.2</v>
      </c>
      <c r="E16" s="18" t="str">
        <f>IF($B16="لا","",'تحليل الفجوة'!$D16)</f>
        <v>تصميم وتجديد تجارب المستفيدين الاستثنائية</v>
      </c>
      <c r="F16" s="17" t="str">
        <f>IF($B16="لا","",'تحليل الفجوة'!$S16)</f>
        <v>تحليل فجوة</v>
      </c>
      <c r="G16" s="17" t="str">
        <f>IF($B16="لا","",'تحليل الفجوة'!$J16)</f>
        <v>مطبق جزئياً</v>
      </c>
      <c r="H16" s="17" t="str">
        <f>IF($B16="لا","",'تحليل الفجوة'!$N16)</f>
        <v>ملاحظة</v>
      </c>
      <c r="I16" s="17" t="str">
        <f>IF($B16="لا","",'تحليل الفجوة'!$T16)</f>
        <v>متوسطة</v>
      </c>
      <c r="J16" s="18" t="str">
        <f>IF($B16="لا","",'تحليل الفجوة'!$O16)</f>
        <v>المخرج لا يُغذّي أي قرار حالياً — يُنتج ثم يُحفظ</v>
      </c>
      <c r="K16" s="18" t="str">
        <f>IF($B16="لا","",'تحليل الفجوة'!$H16)</f>
        <v>IMT-ISE-SE-PRO-003</v>
      </c>
      <c r="L16" s="13" t="s">
        <v>681</v>
      </c>
      <c r="M16" s="10" t="s">
        <v>110</v>
      </c>
      <c r="N16" s="10" t="s">
        <v>113</v>
      </c>
      <c r="O16" s="10" t="s">
        <v>89</v>
      </c>
      <c r="P16" s="16">
        <v>46255</v>
      </c>
      <c r="Q16" s="16">
        <v>46375</v>
      </c>
      <c r="R16" s="11" t="s">
        <v>80</v>
      </c>
      <c r="S16" s="11">
        <v>50</v>
      </c>
      <c r="T16" s="10" t="s">
        <v>81</v>
      </c>
      <c r="U16" s="16"/>
      <c r="V16" s="15" t="str">
        <f t="shared" ca="1" si="0"/>
        <v>ضمن المدة</v>
      </c>
    </row>
    <row r="17" spans="1:22" ht="38" hidden="1" customHeight="1" x14ac:dyDescent="0.3">
      <c r="A17" s="15" t="str">
        <f>IF('تحليل الفجوة'!$R17="نعم",COUNTIF('تحليل الفجوة'!$R$4:'تحليل الفجوة'!$R17,"نعم"),"—")</f>
        <v>—</v>
      </c>
      <c r="B17" s="15" t="str">
        <f>'تحليل الفجوة'!$R17</f>
        <v>لا</v>
      </c>
      <c r="C17" s="17" t="str">
        <f>IF($B17="لا","",'تحليل الفجوة'!$B17)</f>
        <v/>
      </c>
      <c r="D17" s="17" t="str">
        <f>IF($B17="لا","",'تحليل الفجوة'!$C17)</f>
        <v/>
      </c>
      <c r="E17" s="18" t="str">
        <f>IF($B17="لا","",'تحليل الفجوة'!$D17)</f>
        <v/>
      </c>
      <c r="F17" s="17" t="str">
        <f>IF($B17="لا","",'تحليل الفجوة'!$S17)</f>
        <v/>
      </c>
      <c r="G17" s="17" t="str">
        <f>IF($B17="لا","",'تحليل الفجوة'!$J17)</f>
        <v/>
      </c>
      <c r="H17" s="17" t="str">
        <f>IF($B17="لا","",'تحليل الفجوة'!$N17)</f>
        <v/>
      </c>
      <c r="I17" s="17" t="str">
        <f>IF($B17="لا","",'تحليل الفجوة'!$T17)</f>
        <v/>
      </c>
      <c r="J17" s="18" t="str">
        <f>IF($B17="لا","",'تحليل الفجوة'!$O17)</f>
        <v/>
      </c>
      <c r="K17" s="18" t="str">
        <f>IF($B17="لا","",'تحليل الفجوة'!$H17)</f>
        <v/>
      </c>
      <c r="L17" s="19"/>
      <c r="M17" s="19"/>
      <c r="N17" s="19"/>
      <c r="O17" s="19"/>
      <c r="P17" s="19"/>
      <c r="Q17" s="19"/>
      <c r="R17" s="19"/>
      <c r="S17" s="19"/>
      <c r="T17" s="19"/>
      <c r="U17" s="19"/>
      <c r="V17" s="15" t="str">
        <f t="shared" ca="1" si="0"/>
        <v>—</v>
      </c>
    </row>
    <row r="18" spans="1:22" ht="38" customHeight="1" x14ac:dyDescent="0.3">
      <c r="A18" s="15">
        <f>IF('تحليل الفجوة'!$R18="نعم",COUNTIF('تحليل الفجوة'!$R$4:'تحليل الفجوة'!$R18,"نعم"),"—")</f>
        <v>7</v>
      </c>
      <c r="B18" s="15" t="str">
        <f>'تحليل الفجوة'!$R18</f>
        <v>نعم</v>
      </c>
      <c r="C18" s="17" t="str">
        <f>IF($B18="لا","",'تحليل الفجوة'!$B18)</f>
        <v>ISO 23592:2021</v>
      </c>
      <c r="D18" s="17" t="str">
        <f>IF($B18="لا","",'تحليل الفجوة'!$C18)</f>
        <v>7.4.1</v>
      </c>
      <c r="E18" s="18" t="str">
        <f>IF($B18="لا","",'تحليل الفجوة'!$D18)</f>
        <v>إدارة العمليات الكفؤة والفعالة المرتبطة بتجربة المستفيد والهيكل التنظيمي</v>
      </c>
      <c r="F18" s="17" t="str">
        <f>IF($B18="لا","",'تحليل الفجوة'!$S18)</f>
        <v>تحليل فجوة</v>
      </c>
      <c r="G18" s="17" t="str">
        <f>IF($B18="لا","",'تحليل الفجوة'!$J18)</f>
        <v>مطبق جزئياً</v>
      </c>
      <c r="H18" s="17" t="str">
        <f>IF($B18="لا","",'تحليل الفجوة'!$N18)</f>
        <v>مطابق</v>
      </c>
      <c r="I18" s="17" t="str">
        <f>IF($B18="لا","",'تحليل الفجوة'!$T18)</f>
        <v>عالية</v>
      </c>
      <c r="J18" s="18" t="str">
        <f>IF($B18="لا","",'تحليل الفجوة'!$O18)</f>
        <v>التطبيق قائم على أشخاص لا على إجراء — ينهار بتغيّر الموظف</v>
      </c>
      <c r="K18" s="18" t="str">
        <f>IF($B18="لا","",'تحليل الفجوة'!$H18)</f>
        <v>IMT-ISE-SE-PRO-005</v>
      </c>
      <c r="L18" s="13" t="s">
        <v>677</v>
      </c>
      <c r="M18" s="10" t="s">
        <v>87</v>
      </c>
      <c r="N18" s="10" t="s">
        <v>78</v>
      </c>
      <c r="O18" s="10" t="s">
        <v>79</v>
      </c>
      <c r="P18" s="16">
        <v>46222</v>
      </c>
      <c r="Q18" s="16">
        <v>46262</v>
      </c>
      <c r="R18" s="11" t="s">
        <v>80</v>
      </c>
      <c r="S18" s="11">
        <v>50</v>
      </c>
      <c r="T18" s="10" t="s">
        <v>81</v>
      </c>
      <c r="U18" s="16"/>
      <c r="V18" s="15" t="str">
        <f t="shared" ca="1" si="0"/>
        <v>ضمن المدة</v>
      </c>
    </row>
    <row r="19" spans="1:22" ht="38" hidden="1" customHeight="1" x14ac:dyDescent="0.3">
      <c r="A19" s="15" t="str">
        <f>IF('تحليل الفجوة'!$R19="نعم",COUNTIF('تحليل الفجوة'!$R$4:'تحليل الفجوة'!$R19,"نعم"),"—")</f>
        <v>—</v>
      </c>
      <c r="B19" s="15" t="str">
        <f>'تحليل الفجوة'!$R19</f>
        <v>لا</v>
      </c>
      <c r="C19" s="17" t="str">
        <f>IF($B19="لا","",'تحليل الفجوة'!$B19)</f>
        <v/>
      </c>
      <c r="D19" s="17" t="str">
        <f>IF($B19="لا","",'تحليل الفجوة'!$C19)</f>
        <v/>
      </c>
      <c r="E19" s="18" t="str">
        <f>IF($B19="لا","",'تحليل الفجوة'!$D19)</f>
        <v/>
      </c>
      <c r="F19" s="17" t="str">
        <f>IF($B19="لا","",'تحليل الفجوة'!$S19)</f>
        <v/>
      </c>
      <c r="G19" s="17" t="str">
        <f>IF($B19="لا","",'تحليل الفجوة'!$J19)</f>
        <v/>
      </c>
      <c r="H19" s="17" t="str">
        <f>IF($B19="لا","",'تحليل الفجوة'!$N19)</f>
        <v/>
      </c>
      <c r="I19" s="17" t="str">
        <f>IF($B19="لا","",'تحليل الفجوة'!$T19)</f>
        <v/>
      </c>
      <c r="J19" s="18" t="str">
        <f>IF($B19="لا","",'تحليل الفجوة'!$O19)</f>
        <v/>
      </c>
      <c r="K19" s="18" t="str">
        <f>IF($B19="لا","",'تحليل الفجوة'!$H19)</f>
        <v/>
      </c>
      <c r="L19" s="19"/>
      <c r="M19" s="19"/>
      <c r="N19" s="19"/>
      <c r="O19" s="19"/>
      <c r="P19" s="19"/>
      <c r="Q19" s="19"/>
      <c r="R19" s="19"/>
      <c r="S19" s="19"/>
      <c r="T19" s="19"/>
      <c r="U19" s="19"/>
      <c r="V19" s="15" t="str">
        <f t="shared" ca="1" si="0"/>
        <v>—</v>
      </c>
    </row>
    <row r="20" spans="1:22" ht="38" hidden="1" customHeight="1" x14ac:dyDescent="0.3">
      <c r="A20" s="15" t="str">
        <f>IF('تحليل الفجوة'!$R20="نعم",COUNTIF('تحليل الفجوة'!$R$4:'تحليل الفجوة'!$R20,"نعم"),"—")</f>
        <v>—</v>
      </c>
      <c r="B20" s="15" t="str">
        <f>'تحليل الفجوة'!$R20</f>
        <v>لا</v>
      </c>
      <c r="C20" s="17" t="str">
        <f>IF($B20="لا","",'تحليل الفجوة'!$B20)</f>
        <v/>
      </c>
      <c r="D20" s="17" t="str">
        <f>IF($B20="لا","",'تحليل الفجوة'!$C20)</f>
        <v/>
      </c>
      <c r="E20" s="18" t="str">
        <f>IF($B20="لا","",'تحليل الفجوة'!$D20)</f>
        <v/>
      </c>
      <c r="F20" s="17" t="str">
        <f>IF($B20="لا","",'تحليل الفجوة'!$S20)</f>
        <v/>
      </c>
      <c r="G20" s="17" t="str">
        <f>IF($B20="لا","",'تحليل الفجوة'!$J20)</f>
        <v/>
      </c>
      <c r="H20" s="17" t="str">
        <f>IF($B20="لا","",'تحليل الفجوة'!$N20)</f>
        <v/>
      </c>
      <c r="I20" s="17" t="str">
        <f>IF($B20="لا","",'تحليل الفجوة'!$T20)</f>
        <v/>
      </c>
      <c r="J20" s="18" t="str">
        <f>IF($B20="لا","",'تحليل الفجوة'!$O20)</f>
        <v/>
      </c>
      <c r="K20" s="18" t="str">
        <f>IF($B20="لا","",'تحليل الفجوة'!$H20)</f>
        <v/>
      </c>
      <c r="L20" s="19"/>
      <c r="M20" s="19"/>
      <c r="N20" s="19"/>
      <c r="O20" s="19"/>
      <c r="P20" s="19"/>
      <c r="Q20" s="19"/>
      <c r="R20" s="19"/>
      <c r="S20" s="19"/>
      <c r="T20" s="19"/>
      <c r="U20" s="19"/>
      <c r="V20" s="15" t="str">
        <f t="shared" ca="1" si="0"/>
        <v>—</v>
      </c>
    </row>
    <row r="21" spans="1:22" ht="38" hidden="1" customHeight="1" x14ac:dyDescent="0.3">
      <c r="A21" s="15" t="str">
        <f>IF('تحليل الفجوة'!$R21="نعم",COUNTIF('تحليل الفجوة'!$R$4:'تحليل الفجوة'!$R21,"نعم"),"—")</f>
        <v>—</v>
      </c>
      <c r="B21" s="15" t="str">
        <f>'تحليل الفجوة'!$R21</f>
        <v>لا</v>
      </c>
      <c r="C21" s="17" t="str">
        <f>IF($B21="لا","",'تحليل الفجوة'!$B21)</f>
        <v/>
      </c>
      <c r="D21" s="17" t="str">
        <f>IF($B21="لا","",'تحليل الفجوة'!$C21)</f>
        <v/>
      </c>
      <c r="E21" s="18" t="str">
        <f>IF($B21="لا","",'تحليل الفجوة'!$D21)</f>
        <v/>
      </c>
      <c r="F21" s="17" t="str">
        <f>IF($B21="لا","",'تحليل الفجوة'!$S21)</f>
        <v/>
      </c>
      <c r="G21" s="17" t="str">
        <f>IF($B21="لا","",'تحليل الفجوة'!$J21)</f>
        <v/>
      </c>
      <c r="H21" s="17" t="str">
        <f>IF($B21="لا","",'تحليل الفجوة'!$N21)</f>
        <v/>
      </c>
      <c r="I21" s="17" t="str">
        <f>IF($B21="لا","",'تحليل الفجوة'!$T21)</f>
        <v/>
      </c>
      <c r="J21" s="18" t="str">
        <f>IF($B21="لا","",'تحليل الفجوة'!$O21)</f>
        <v/>
      </c>
      <c r="K21" s="18" t="str">
        <f>IF($B21="لا","",'تحليل الفجوة'!$H21)</f>
        <v/>
      </c>
      <c r="L21" s="19"/>
      <c r="M21" s="19"/>
      <c r="N21" s="19"/>
      <c r="O21" s="19"/>
      <c r="P21" s="19"/>
      <c r="Q21" s="19"/>
      <c r="R21" s="19"/>
      <c r="S21" s="19"/>
      <c r="T21" s="19"/>
      <c r="U21" s="19"/>
      <c r="V21" s="15" t="str">
        <f t="shared" ca="1" si="0"/>
        <v>—</v>
      </c>
    </row>
    <row r="22" spans="1:22" ht="38" customHeight="1" x14ac:dyDescent="0.3">
      <c r="A22" s="15">
        <f>IF('تحليل الفجوة'!$R22="نعم",COUNTIF('تحليل الفجوة'!$R$4:'تحليل الفجوة'!$R22,"نعم"),"—")</f>
        <v>8</v>
      </c>
      <c r="B22" s="15" t="str">
        <f>'تحليل الفجوة'!$R22</f>
        <v>نعم</v>
      </c>
      <c r="C22" s="17" t="str">
        <f>IF($B22="لا","",'تحليل الفجوة'!$B22)</f>
        <v>ISO 10001:2018</v>
      </c>
      <c r="D22" s="17" t="str">
        <f>IF($B22="لا","",'تحليل الفجوة'!$C22)</f>
        <v>3</v>
      </c>
      <c r="E22" s="18" t="str">
        <f>IF($B22="لا","",'تحليل الفجوة'!$D22)</f>
        <v>المصطلحات والتعريفات</v>
      </c>
      <c r="F22" s="17" t="str">
        <f>IF($B22="لا","",'تحليل الفجوة'!$S22)</f>
        <v>تحليل فجوة + تدقيق</v>
      </c>
      <c r="G22" s="17" t="str">
        <f>IF($B22="لا","",'تحليل الفجوة'!$J22)</f>
        <v>مطبق جزئياً</v>
      </c>
      <c r="H22" s="17" t="str">
        <f>IF($B22="لا","",'تحليل الفجوة'!$N22)</f>
        <v>عدم مطابقة صغرى</v>
      </c>
      <c r="I22" s="17" t="str">
        <f>IF($B22="لا","",'تحليل الفجوة'!$T22)</f>
        <v>عالية</v>
      </c>
      <c r="J22" s="18" t="str">
        <f>IF($B22="لا","",'تحليل الفجوة'!$O22)</f>
        <v>المخرج لا يُغذّي أي قرار حالياً — يُنتج ثم يُحفظ</v>
      </c>
      <c r="K22" s="18" t="str">
        <f>IF($B22="لا","",'تحليل الفجوة'!$H22)</f>
        <v>IMT-ISE-CR-GLS-001</v>
      </c>
      <c r="L22" s="13" t="s">
        <v>682</v>
      </c>
      <c r="M22" s="10" t="s">
        <v>67</v>
      </c>
      <c r="N22" s="10" t="s">
        <v>111</v>
      </c>
      <c r="O22" s="10" t="s">
        <v>106</v>
      </c>
      <c r="P22" s="16">
        <v>46241</v>
      </c>
      <c r="Q22" s="16">
        <v>46286</v>
      </c>
      <c r="R22" s="11" t="s">
        <v>90</v>
      </c>
      <c r="S22" s="11">
        <v>100</v>
      </c>
      <c r="T22" s="10" t="s">
        <v>91</v>
      </c>
      <c r="U22" s="16">
        <v>46275</v>
      </c>
      <c r="V22" s="15" t="str">
        <f t="shared" ca="1" si="0"/>
        <v>مغلق</v>
      </c>
    </row>
    <row r="23" spans="1:22" ht="38" hidden="1" customHeight="1" x14ac:dyDescent="0.3">
      <c r="A23" s="15" t="str">
        <f>IF('تحليل الفجوة'!$R23="نعم",COUNTIF('تحليل الفجوة'!$R$4:'تحليل الفجوة'!$R23,"نعم"),"—")</f>
        <v>—</v>
      </c>
      <c r="B23" s="15" t="str">
        <f>'تحليل الفجوة'!$R23</f>
        <v>لا</v>
      </c>
      <c r="C23" s="17" t="str">
        <f>IF($B23="لا","",'تحليل الفجوة'!$B23)</f>
        <v/>
      </c>
      <c r="D23" s="17" t="str">
        <f>IF($B23="لا","",'تحليل الفجوة'!$C23)</f>
        <v/>
      </c>
      <c r="E23" s="18" t="str">
        <f>IF($B23="لا","",'تحليل الفجوة'!$D23)</f>
        <v/>
      </c>
      <c r="F23" s="17" t="str">
        <f>IF($B23="لا","",'تحليل الفجوة'!$S23)</f>
        <v/>
      </c>
      <c r="G23" s="17" t="str">
        <f>IF($B23="لا","",'تحليل الفجوة'!$J23)</f>
        <v/>
      </c>
      <c r="H23" s="17" t="str">
        <f>IF($B23="لا","",'تحليل الفجوة'!$N23)</f>
        <v/>
      </c>
      <c r="I23" s="17" t="str">
        <f>IF($B23="لا","",'تحليل الفجوة'!$T23)</f>
        <v/>
      </c>
      <c r="J23" s="18" t="str">
        <f>IF($B23="لا","",'تحليل الفجوة'!$O23)</f>
        <v/>
      </c>
      <c r="K23" s="18" t="str">
        <f>IF($B23="لا","",'تحليل الفجوة'!$H23)</f>
        <v/>
      </c>
      <c r="L23" s="19"/>
      <c r="M23" s="19"/>
      <c r="N23" s="19"/>
      <c r="O23" s="19"/>
      <c r="P23" s="19"/>
      <c r="Q23" s="19"/>
      <c r="R23" s="19"/>
      <c r="S23" s="19"/>
      <c r="T23" s="19"/>
      <c r="U23" s="19"/>
      <c r="V23" s="15" t="str">
        <f t="shared" ca="1" si="0"/>
        <v>—</v>
      </c>
    </row>
    <row r="24" spans="1:22" ht="38" customHeight="1" x14ac:dyDescent="0.3">
      <c r="A24" s="15">
        <f>IF('تحليل الفجوة'!$R24="نعم",COUNTIF('تحليل الفجوة'!$R$4:'تحليل الفجوة'!$R24,"نعم"),"—")</f>
        <v>9</v>
      </c>
      <c r="B24" s="15" t="str">
        <f>'تحليل الفجوة'!$R24</f>
        <v>نعم</v>
      </c>
      <c r="C24" s="17" t="str">
        <f>IF($B24="لا","",'تحليل الفجوة'!$B24)</f>
        <v>ISO 10001:2018</v>
      </c>
      <c r="D24" s="17" t="str">
        <f>IF($B24="لا","",'تحليل الفجوة'!$C24)</f>
        <v>4.2</v>
      </c>
      <c r="E24" s="18" t="str">
        <f>IF($B24="لا","",'تحليل الفجوة'!$D24)</f>
        <v>الالتزام</v>
      </c>
      <c r="F24" s="17" t="str">
        <f>IF($B24="لا","",'تحليل الفجوة'!$S24)</f>
        <v>تحليل فجوة + تدقيق</v>
      </c>
      <c r="G24" s="17" t="str">
        <f>IF($B24="لا","",'تحليل الفجوة'!$J24)</f>
        <v>مطبق جزئياً</v>
      </c>
      <c r="H24" s="17" t="str">
        <f>IF($B24="لا","",'تحليل الفجوة'!$N24)</f>
        <v>عدم مطابقة صغرى</v>
      </c>
      <c r="I24" s="17" t="str">
        <f>IF($B24="لا","",'تحليل الفجوة'!$T24)</f>
        <v>عالية</v>
      </c>
      <c r="J24" s="18" t="str">
        <f>IF($B24="لا","",'تحليل الفجوة'!$O24)</f>
        <v>التطبيق قائم على أشخاص لا على إجراء — ينهار بتغيّر الموظف</v>
      </c>
      <c r="K24" s="18" t="str">
        <f>IF($B24="لا","",'تحليل الفجوة'!$H24)</f>
        <v>IMT-ISE-CR-CHT-001</v>
      </c>
      <c r="L24" s="13" t="s">
        <v>682</v>
      </c>
      <c r="M24" s="10" t="s">
        <v>67</v>
      </c>
      <c r="N24" s="10" t="s">
        <v>111</v>
      </c>
      <c r="O24" s="10" t="s">
        <v>106</v>
      </c>
      <c r="P24" s="16">
        <v>46250</v>
      </c>
      <c r="Q24" s="16">
        <v>46295</v>
      </c>
      <c r="R24" s="11" t="s">
        <v>80</v>
      </c>
      <c r="S24" s="11">
        <v>75</v>
      </c>
      <c r="T24" s="10" t="s">
        <v>81</v>
      </c>
      <c r="U24" s="16"/>
      <c r="V24" s="15" t="str">
        <f t="shared" ca="1" si="0"/>
        <v>ضمن المدة</v>
      </c>
    </row>
    <row r="25" spans="1:22" ht="38" customHeight="1" x14ac:dyDescent="0.3">
      <c r="A25" s="15">
        <f>IF('تحليل الفجوة'!$R25="نعم",COUNTIF('تحليل الفجوة'!$R$4:'تحليل الفجوة'!$R25,"نعم"),"—")</f>
        <v>10</v>
      </c>
      <c r="B25" s="15" t="str">
        <f>'تحليل الفجوة'!$R25</f>
        <v>نعم</v>
      </c>
      <c r="C25" s="17" t="str">
        <f>IF($B25="لا","",'تحليل الفجوة'!$B25)</f>
        <v>ISO 10001:2018</v>
      </c>
      <c r="D25" s="17" t="str">
        <f>IF($B25="لا","",'تحليل الفجوة'!$C25)</f>
        <v>4.3</v>
      </c>
      <c r="E25" s="18" t="str">
        <f>IF($B25="لا","",'تحليل الفجوة'!$D25)</f>
        <v>السعة</v>
      </c>
      <c r="F25" s="17" t="str">
        <f>IF($B25="لا","",'تحليل الفجوة'!$S25)</f>
        <v>تحليل فجوة</v>
      </c>
      <c r="G25" s="17" t="str">
        <f>IF($B25="لا","",'تحليل الفجوة'!$J25)</f>
        <v>مطبق جزئياً</v>
      </c>
      <c r="H25" s="17" t="str">
        <f>IF($B25="لا","",'تحليل الفجوة'!$N25)</f>
        <v>فرصة تحسين</v>
      </c>
      <c r="I25" s="17" t="str">
        <f>IF($B25="لا","",'تحليل الفجوة'!$T25)</f>
        <v>متوسطة</v>
      </c>
      <c r="J25" s="18" t="str">
        <f>IF($B25="لا","",'تحليل الفجوة'!$O25)</f>
        <v>المخرج لا يُغذّي أي قرار حالياً — يُنتج ثم يُحفظ</v>
      </c>
      <c r="K25" s="18" t="str">
        <f>IF($B25="لا","",'تحليل الفجوة'!$H25)</f>
        <v>IMT-ISE-CR-CHT-001</v>
      </c>
      <c r="L25" s="13" t="s">
        <v>681</v>
      </c>
      <c r="M25" s="10" t="s">
        <v>110</v>
      </c>
      <c r="N25" s="10" t="s">
        <v>114</v>
      </c>
      <c r="O25" s="10" t="s">
        <v>79</v>
      </c>
      <c r="P25" s="16">
        <v>46231</v>
      </c>
      <c r="Q25" s="16">
        <v>46351</v>
      </c>
      <c r="R25" s="11" t="s">
        <v>90</v>
      </c>
      <c r="S25" s="11">
        <v>100</v>
      </c>
      <c r="T25" s="10" t="s">
        <v>91</v>
      </c>
      <c r="U25" s="16">
        <v>46348</v>
      </c>
      <c r="V25" s="15" t="str">
        <f t="shared" ca="1" si="0"/>
        <v>مغلق</v>
      </c>
    </row>
    <row r="26" spans="1:22" ht="38" hidden="1" customHeight="1" x14ac:dyDescent="0.3">
      <c r="A26" s="15" t="str">
        <f>IF('تحليل الفجوة'!$R26="نعم",COUNTIF('تحليل الفجوة'!$R$4:'تحليل الفجوة'!$R26,"نعم"),"—")</f>
        <v>—</v>
      </c>
      <c r="B26" s="15" t="str">
        <f>'تحليل الفجوة'!$R26</f>
        <v>لا</v>
      </c>
      <c r="C26" s="17" t="str">
        <f>IF($B26="لا","",'تحليل الفجوة'!$B26)</f>
        <v/>
      </c>
      <c r="D26" s="17" t="str">
        <f>IF($B26="لا","",'تحليل الفجوة'!$C26)</f>
        <v/>
      </c>
      <c r="E26" s="18" t="str">
        <f>IF($B26="لا","",'تحليل الفجوة'!$D26)</f>
        <v/>
      </c>
      <c r="F26" s="17" t="str">
        <f>IF($B26="لا","",'تحليل الفجوة'!$S26)</f>
        <v/>
      </c>
      <c r="G26" s="17" t="str">
        <f>IF($B26="لا","",'تحليل الفجوة'!$J26)</f>
        <v/>
      </c>
      <c r="H26" s="17" t="str">
        <f>IF($B26="لا","",'تحليل الفجوة'!$N26)</f>
        <v/>
      </c>
      <c r="I26" s="17" t="str">
        <f>IF($B26="لا","",'تحليل الفجوة'!$T26)</f>
        <v/>
      </c>
      <c r="J26" s="18" t="str">
        <f>IF($B26="لا","",'تحليل الفجوة'!$O26)</f>
        <v/>
      </c>
      <c r="K26" s="18" t="str">
        <f>IF($B26="لا","",'تحليل الفجوة'!$H26)</f>
        <v/>
      </c>
      <c r="L26" s="19"/>
      <c r="M26" s="19"/>
      <c r="N26" s="19"/>
      <c r="O26" s="19"/>
      <c r="P26" s="19"/>
      <c r="Q26" s="19"/>
      <c r="R26" s="19"/>
      <c r="S26" s="19"/>
      <c r="T26" s="19"/>
      <c r="U26" s="19"/>
      <c r="V26" s="15" t="str">
        <f t="shared" ca="1" si="0"/>
        <v>—</v>
      </c>
    </row>
    <row r="27" spans="1:22" ht="38" customHeight="1" x14ac:dyDescent="0.3">
      <c r="A27" s="15">
        <f>IF('تحليل الفجوة'!$R27="نعم",COUNTIF('تحليل الفجوة'!$R$4:'تحليل الفجوة'!$R27,"نعم"),"—")</f>
        <v>11</v>
      </c>
      <c r="B27" s="15" t="str">
        <f>'تحليل الفجوة'!$R27</f>
        <v>نعم</v>
      </c>
      <c r="C27" s="17" t="str">
        <f>IF($B27="لا","",'تحليل الفجوة'!$B27)</f>
        <v>ISO 10001:2018</v>
      </c>
      <c r="D27" s="17" t="str">
        <f>IF($B27="لا","",'تحليل الفجوة'!$C27)</f>
        <v>4.5</v>
      </c>
      <c r="E27" s="18" t="str">
        <f>IF($B27="لا","",'تحليل الفجوة'!$D27)</f>
        <v>سهولة الوصول</v>
      </c>
      <c r="F27" s="17" t="str">
        <f>IF($B27="لا","",'تحليل الفجوة'!$S27)</f>
        <v>تحليل فجوة</v>
      </c>
      <c r="G27" s="17" t="str">
        <f>IF($B27="لا","",'تحليل الفجوة'!$J27)</f>
        <v>مطبق جزئياً</v>
      </c>
      <c r="H27" s="17" t="str">
        <f>IF($B27="لا","",'تحليل الفجوة'!$N27)</f>
        <v>فرصة تحسين</v>
      </c>
      <c r="I27" s="17" t="str">
        <f>IF($B27="لا","",'تحليل الفجوة'!$T27)</f>
        <v>عالية</v>
      </c>
      <c r="J27" s="18" t="str">
        <f>IF($B27="لا","",'تحليل الفجوة'!$O27)</f>
        <v>المخرج لا يُغذّي أي قرار حالياً — يُنتج ثم يُحفظ</v>
      </c>
      <c r="K27" s="18" t="str">
        <f>IF($B27="لا","",'تحليل الفجوة'!$H27)</f>
        <v>IMT-ISE-CR-CHT-001</v>
      </c>
      <c r="L27" s="13" t="s">
        <v>681</v>
      </c>
      <c r="M27" s="10" t="s">
        <v>110</v>
      </c>
      <c r="N27" s="10" t="s">
        <v>114</v>
      </c>
      <c r="O27" s="10" t="s">
        <v>112</v>
      </c>
      <c r="P27" s="16">
        <v>46205</v>
      </c>
      <c r="Q27" s="16">
        <v>46325</v>
      </c>
      <c r="R27" s="11" t="s">
        <v>80</v>
      </c>
      <c r="S27" s="11">
        <v>75</v>
      </c>
      <c r="T27" s="10" t="s">
        <v>81</v>
      </c>
      <c r="U27" s="16"/>
      <c r="V27" s="15" t="str">
        <f t="shared" ca="1" si="0"/>
        <v>ضمن المدة</v>
      </c>
    </row>
    <row r="28" spans="1:22" ht="38" customHeight="1" x14ac:dyDescent="0.3">
      <c r="A28" s="15">
        <f>IF('تحليل الفجوة'!$R28="نعم",COUNTIF('تحليل الفجوة'!$R$4:'تحليل الفجوة'!$R28,"نعم"),"—")</f>
        <v>12</v>
      </c>
      <c r="B28" s="15" t="str">
        <f>'تحليل الفجوة'!$R28</f>
        <v>نعم</v>
      </c>
      <c r="C28" s="17" t="str">
        <f>IF($B28="لا","",'تحليل الفجوة'!$B28)</f>
        <v>ISO 10001:2018</v>
      </c>
      <c r="D28" s="17" t="str">
        <f>IF($B28="لا","",'تحليل الفجوة'!$C28)</f>
        <v>4.6</v>
      </c>
      <c r="E28" s="18" t="str">
        <f>IF($B28="لا","",'تحليل الفجوة'!$D28)</f>
        <v>الاستجابة</v>
      </c>
      <c r="F28" s="17" t="str">
        <f>IF($B28="لا","",'تحليل الفجوة'!$S28)</f>
        <v>تحليل فجوة + تدقيق</v>
      </c>
      <c r="G28" s="17" t="str">
        <f>IF($B28="لا","",'تحليل الفجوة'!$J28)</f>
        <v>غير مطبق</v>
      </c>
      <c r="H28" s="17" t="str">
        <f>IF($B28="لا","",'تحليل الفجوة'!$N28)</f>
        <v>عدم مطابقة كبرى</v>
      </c>
      <c r="I28" s="17" t="str">
        <f>IF($B28="لا","",'تحليل الفجوة'!$T28)</f>
        <v>حرجة</v>
      </c>
      <c r="J28" s="18" t="str">
        <f>IF($B28="لا","",'تحليل الفجوة'!$O28)</f>
        <v>البند غير مدرج في أي إجراء معتمد لدى الجهة</v>
      </c>
      <c r="K28" s="18" t="str">
        <f>IF($B28="لا","",'تحليل الفجوة'!$H28)</f>
        <v>IMT-ISE-CR-CHT-001</v>
      </c>
      <c r="L28" s="13" t="s">
        <v>680</v>
      </c>
      <c r="M28" s="10" t="s">
        <v>77</v>
      </c>
      <c r="N28" s="10" t="s">
        <v>88</v>
      </c>
      <c r="O28" s="10" t="s">
        <v>112</v>
      </c>
      <c r="P28" s="16">
        <v>46253</v>
      </c>
      <c r="Q28" s="16">
        <v>46328</v>
      </c>
      <c r="R28" s="11" t="s">
        <v>80</v>
      </c>
      <c r="S28" s="11">
        <v>75</v>
      </c>
      <c r="T28" s="10" t="s">
        <v>81</v>
      </c>
      <c r="U28" s="16"/>
      <c r="V28" s="15" t="str">
        <f t="shared" ca="1" si="0"/>
        <v>ضمن المدة</v>
      </c>
    </row>
    <row r="29" spans="1:22" ht="38" customHeight="1" x14ac:dyDescent="0.3">
      <c r="A29" s="15">
        <f>IF('تحليل الفجوة'!$R29="نعم",COUNTIF('تحليل الفجوة'!$R$4:'تحليل الفجوة'!$R29,"نعم"),"—")</f>
        <v>13</v>
      </c>
      <c r="B29" s="15" t="str">
        <f>'تحليل الفجوة'!$R29</f>
        <v>نعم</v>
      </c>
      <c r="C29" s="17" t="str">
        <f>IF($B29="لا","",'تحليل الفجوة'!$B29)</f>
        <v>ISO 10001:2018</v>
      </c>
      <c r="D29" s="17" t="str">
        <f>IF($B29="لا","",'تحليل الفجوة'!$C29)</f>
        <v>4.7</v>
      </c>
      <c r="E29" s="18" t="str">
        <f>IF($B29="لا","",'تحليل الفجوة'!$D29)</f>
        <v>نزاهة المعلومات</v>
      </c>
      <c r="F29" s="17" t="str">
        <f>IF($B29="لا","",'تحليل الفجوة'!$S29)</f>
        <v>تحليل فجوة</v>
      </c>
      <c r="G29" s="17" t="str">
        <f>IF($B29="لا","",'تحليل الفجوة'!$J29)</f>
        <v>مطبق جزئياً</v>
      </c>
      <c r="H29" s="17" t="str">
        <f>IF($B29="لا","",'تحليل الفجوة'!$N29)</f>
        <v>ملاحظة</v>
      </c>
      <c r="I29" s="17" t="str">
        <f>IF($B29="لا","",'تحليل الفجوة'!$T29)</f>
        <v>عالية</v>
      </c>
      <c r="J29" s="18" t="str">
        <f>IF($B29="لا","",'تحليل الفجوة'!$O29)</f>
        <v>الدورية غير منضبطة ولا يوجد تذكير أو مالك للمتابعة</v>
      </c>
      <c r="K29" s="18" t="str">
        <f>IF($B29="لا","",'تحليل الفجوة'!$H29)</f>
        <v>IMT-ISE-CR-CHT-001</v>
      </c>
      <c r="L29" s="13" t="s">
        <v>678</v>
      </c>
      <c r="M29" s="10" t="s">
        <v>96</v>
      </c>
      <c r="N29" s="10" t="s">
        <v>88</v>
      </c>
      <c r="O29" s="10" t="s">
        <v>89</v>
      </c>
      <c r="P29" s="16">
        <v>46219</v>
      </c>
      <c r="Q29" s="16">
        <v>46254</v>
      </c>
      <c r="R29" s="11" t="s">
        <v>107</v>
      </c>
      <c r="S29" s="11">
        <v>0</v>
      </c>
      <c r="T29" s="10" t="s">
        <v>71</v>
      </c>
      <c r="U29" s="16"/>
      <c r="V29" s="15" t="str">
        <f t="shared" ca="1" si="0"/>
        <v>ضمن المدة</v>
      </c>
    </row>
    <row r="30" spans="1:22" ht="38" customHeight="1" x14ac:dyDescent="0.3">
      <c r="A30" s="15">
        <f>IF('تحليل الفجوة'!$R30="نعم",COUNTIF('تحليل الفجوة'!$R$4:'تحليل الفجوة'!$R30,"نعم"),"—")</f>
        <v>14</v>
      </c>
      <c r="B30" s="15" t="str">
        <f>'تحليل الفجوة'!$R30</f>
        <v>نعم</v>
      </c>
      <c r="C30" s="17" t="str">
        <f>IF($B30="لا","",'تحليل الفجوة'!$B30)</f>
        <v>ISO 10001:2018</v>
      </c>
      <c r="D30" s="17" t="str">
        <f>IF($B30="لا","",'تحليل الفجوة'!$C30)</f>
        <v>4.8</v>
      </c>
      <c r="E30" s="18" t="str">
        <f>IF($B30="لا","",'تحليل الفجوة'!$D30)</f>
        <v>المساءلة</v>
      </c>
      <c r="F30" s="17" t="str">
        <f>IF($B30="لا","",'تحليل الفجوة'!$S30)</f>
        <v>تحليل فجوة + تدقيق</v>
      </c>
      <c r="G30" s="17" t="str">
        <f>IF($B30="لا","",'تحليل الفجوة'!$J30)</f>
        <v>مطبق جزئياً</v>
      </c>
      <c r="H30" s="17" t="str">
        <f>IF($B30="لا","",'تحليل الفجوة'!$N30)</f>
        <v>عدم مطابقة صغرى</v>
      </c>
      <c r="I30" s="17" t="str">
        <f>IF($B30="لا","",'تحليل الفجوة'!$T30)</f>
        <v>عالية</v>
      </c>
      <c r="J30" s="18" t="str">
        <f>IF($B30="لا","",'تحليل الفجوة'!$O30)</f>
        <v>المخرج لا يُغذّي أي قرار حالياً — يُنتج ثم يُحفظ</v>
      </c>
      <c r="K30" s="18" t="str">
        <f>IF($B30="لا","",'تحليل الفجوة'!$H30)</f>
        <v>IMT-ISE-CR-CHT-001</v>
      </c>
      <c r="L30" s="13" t="s">
        <v>677</v>
      </c>
      <c r="M30" s="10" t="s">
        <v>87</v>
      </c>
      <c r="N30" s="10" t="s">
        <v>111</v>
      </c>
      <c r="O30" s="10" t="s">
        <v>98</v>
      </c>
      <c r="P30" s="16">
        <v>46248</v>
      </c>
      <c r="Q30" s="16">
        <v>46288</v>
      </c>
      <c r="R30" s="11" t="s">
        <v>80</v>
      </c>
      <c r="S30" s="11">
        <v>50</v>
      </c>
      <c r="T30" s="10" t="s">
        <v>81</v>
      </c>
      <c r="U30" s="16"/>
      <c r="V30" s="15" t="str">
        <f t="shared" ca="1" si="0"/>
        <v>ضمن المدة</v>
      </c>
    </row>
    <row r="31" spans="1:22" ht="38" hidden="1" customHeight="1" x14ac:dyDescent="0.3">
      <c r="A31" s="15" t="str">
        <f>IF('تحليل الفجوة'!$R31="نعم",COUNTIF('تحليل الفجوة'!$R$4:'تحليل الفجوة'!$R31,"نعم"),"—")</f>
        <v>—</v>
      </c>
      <c r="B31" s="15" t="str">
        <f>'تحليل الفجوة'!$R31</f>
        <v>لا</v>
      </c>
      <c r="C31" s="17" t="str">
        <f>IF($B31="لا","",'تحليل الفجوة'!$B31)</f>
        <v/>
      </c>
      <c r="D31" s="17" t="str">
        <f>IF($B31="لا","",'تحليل الفجوة'!$C31)</f>
        <v/>
      </c>
      <c r="E31" s="18" t="str">
        <f>IF($B31="لا","",'تحليل الفجوة'!$D31)</f>
        <v/>
      </c>
      <c r="F31" s="17" t="str">
        <f>IF($B31="لا","",'تحليل الفجوة'!$S31)</f>
        <v/>
      </c>
      <c r="G31" s="17" t="str">
        <f>IF($B31="لا","",'تحليل الفجوة'!$J31)</f>
        <v/>
      </c>
      <c r="H31" s="17" t="str">
        <f>IF($B31="لا","",'تحليل الفجوة'!$N31)</f>
        <v/>
      </c>
      <c r="I31" s="17" t="str">
        <f>IF($B31="لا","",'تحليل الفجوة'!$T31)</f>
        <v/>
      </c>
      <c r="J31" s="18" t="str">
        <f>IF($B31="لا","",'تحليل الفجوة'!$O31)</f>
        <v/>
      </c>
      <c r="K31" s="18" t="str">
        <f>IF($B31="لا","",'تحليل الفجوة'!$H31)</f>
        <v/>
      </c>
      <c r="L31" s="19"/>
      <c r="M31" s="19"/>
      <c r="N31" s="19"/>
      <c r="O31" s="19"/>
      <c r="P31" s="19"/>
      <c r="Q31" s="19"/>
      <c r="R31" s="19"/>
      <c r="S31" s="19"/>
      <c r="T31" s="19"/>
      <c r="U31" s="19"/>
      <c r="V31" s="15" t="str">
        <f t="shared" ca="1" si="0"/>
        <v>—</v>
      </c>
    </row>
    <row r="32" spans="1:22" ht="38" customHeight="1" x14ac:dyDescent="0.3">
      <c r="A32" s="15">
        <f>IF('تحليل الفجوة'!$R32="نعم",COUNTIF('تحليل الفجوة'!$R$4:'تحليل الفجوة'!$R32,"نعم"),"—")</f>
        <v>15</v>
      </c>
      <c r="B32" s="15" t="str">
        <f>'تحليل الفجوة'!$R32</f>
        <v>نعم</v>
      </c>
      <c r="C32" s="17" t="str">
        <f>IF($B32="لا","",'تحليل الفجوة'!$B32)</f>
        <v>ISO 10001:2018</v>
      </c>
      <c r="D32" s="17" t="str">
        <f>IF($B32="لا","",'تحليل الفجوة'!$C32)</f>
        <v>4.10</v>
      </c>
      <c r="E32" s="18" t="str">
        <f>IF($B32="لا","",'تحليل الفجوة'!$D32)</f>
        <v>السرية</v>
      </c>
      <c r="F32" s="17" t="str">
        <f>IF($B32="لا","",'تحليل الفجوة'!$S32)</f>
        <v>تحليل فجوة</v>
      </c>
      <c r="G32" s="17" t="str">
        <f>IF($B32="لا","",'تحليل الفجوة'!$J32)</f>
        <v>غير مطبق</v>
      </c>
      <c r="H32" s="17" t="str">
        <f>IF($B32="لا","",'تحليل الفجوة'!$N32)</f>
        <v>ملاحظة</v>
      </c>
      <c r="I32" s="17" t="str">
        <f>IF($B32="لا","",'تحليل الفجوة'!$T32)</f>
        <v>عالية</v>
      </c>
      <c r="J32" s="18" t="str">
        <f>IF($B32="لا","",'تحليل الفجوة'!$O32)</f>
        <v>لا توجد آلية لجمع البيانات المطلوبة لهذا البند</v>
      </c>
      <c r="K32" s="18" t="str">
        <f>IF($B32="لا","",'تحليل الفجوة'!$H32)</f>
        <v>IMT-ISE-CR-CHT-001</v>
      </c>
      <c r="L32" s="13" t="s">
        <v>680</v>
      </c>
      <c r="M32" s="10" t="s">
        <v>77</v>
      </c>
      <c r="N32" s="10" t="s">
        <v>114</v>
      </c>
      <c r="O32" s="10" t="s">
        <v>106</v>
      </c>
      <c r="P32" s="16">
        <v>46250</v>
      </c>
      <c r="Q32" s="16">
        <v>46325</v>
      </c>
      <c r="R32" s="11" t="s">
        <v>80</v>
      </c>
      <c r="S32" s="11">
        <v>75</v>
      </c>
      <c r="T32" s="10" t="s">
        <v>81</v>
      </c>
      <c r="U32" s="16"/>
      <c r="V32" s="15" t="str">
        <f t="shared" ca="1" si="0"/>
        <v>ضمن المدة</v>
      </c>
    </row>
    <row r="33" spans="1:22" ht="38" hidden="1" customHeight="1" x14ac:dyDescent="0.3">
      <c r="A33" s="15" t="str">
        <f>IF('تحليل الفجوة'!$R33="نعم",COUNTIF('تحليل الفجوة'!$R$4:'تحليل الفجوة'!$R33,"نعم"),"—")</f>
        <v>—</v>
      </c>
      <c r="B33" s="15" t="str">
        <f>'تحليل الفجوة'!$R33</f>
        <v>لا</v>
      </c>
      <c r="C33" s="17" t="str">
        <f>IF($B33="لا","",'تحليل الفجوة'!$B33)</f>
        <v/>
      </c>
      <c r="D33" s="17" t="str">
        <f>IF($B33="لا","",'تحليل الفجوة'!$C33)</f>
        <v/>
      </c>
      <c r="E33" s="18" t="str">
        <f>IF($B33="لا","",'تحليل الفجوة'!$D33)</f>
        <v/>
      </c>
      <c r="F33" s="17" t="str">
        <f>IF($B33="لا","",'تحليل الفجوة'!$S33)</f>
        <v/>
      </c>
      <c r="G33" s="17" t="str">
        <f>IF($B33="لا","",'تحليل الفجوة'!$J33)</f>
        <v/>
      </c>
      <c r="H33" s="17" t="str">
        <f>IF($B33="لا","",'تحليل الفجوة'!$N33)</f>
        <v/>
      </c>
      <c r="I33" s="17" t="str">
        <f>IF($B33="لا","",'تحليل الفجوة'!$T33)</f>
        <v/>
      </c>
      <c r="J33" s="18" t="str">
        <f>IF($B33="لا","",'تحليل الفجوة'!$O33)</f>
        <v/>
      </c>
      <c r="K33" s="18" t="str">
        <f>IF($B33="لا","",'تحليل الفجوة'!$H33)</f>
        <v/>
      </c>
      <c r="L33" s="19"/>
      <c r="M33" s="19"/>
      <c r="N33" s="19"/>
      <c r="O33" s="19"/>
      <c r="P33" s="19"/>
      <c r="Q33" s="19"/>
      <c r="R33" s="19"/>
      <c r="S33" s="19"/>
      <c r="T33" s="19"/>
      <c r="U33" s="19"/>
      <c r="V33" s="15" t="str">
        <f t="shared" ca="1" si="0"/>
        <v>—</v>
      </c>
    </row>
    <row r="34" spans="1:22" ht="38" hidden="1" customHeight="1" x14ac:dyDescent="0.3">
      <c r="A34" s="15" t="str">
        <f>IF('تحليل الفجوة'!$R34="نعم",COUNTIF('تحليل الفجوة'!$R$4:'تحليل الفجوة'!$R34,"نعم"),"—")</f>
        <v>—</v>
      </c>
      <c r="B34" s="15" t="str">
        <f>'تحليل الفجوة'!$R34</f>
        <v>لا</v>
      </c>
      <c r="C34" s="17" t="str">
        <f>IF($B34="لا","",'تحليل الفجوة'!$B34)</f>
        <v/>
      </c>
      <c r="D34" s="17" t="str">
        <f>IF($B34="لا","",'تحليل الفجوة'!$C34)</f>
        <v/>
      </c>
      <c r="E34" s="18" t="str">
        <f>IF($B34="لا","",'تحليل الفجوة'!$D34)</f>
        <v/>
      </c>
      <c r="F34" s="17" t="str">
        <f>IF($B34="لا","",'تحليل الفجوة'!$S34)</f>
        <v/>
      </c>
      <c r="G34" s="17" t="str">
        <f>IF($B34="لا","",'تحليل الفجوة'!$J34)</f>
        <v/>
      </c>
      <c r="H34" s="17" t="str">
        <f>IF($B34="لا","",'تحليل الفجوة'!$N34)</f>
        <v/>
      </c>
      <c r="I34" s="17" t="str">
        <f>IF($B34="لا","",'تحليل الفجوة'!$T34)</f>
        <v/>
      </c>
      <c r="J34" s="18" t="str">
        <f>IF($B34="لا","",'تحليل الفجوة'!$O34)</f>
        <v/>
      </c>
      <c r="K34" s="18" t="str">
        <f>IF($B34="لا","",'تحليل الفجوة'!$H34)</f>
        <v/>
      </c>
      <c r="L34" s="19"/>
      <c r="M34" s="19"/>
      <c r="N34" s="19"/>
      <c r="O34" s="19"/>
      <c r="P34" s="19"/>
      <c r="Q34" s="19"/>
      <c r="R34" s="19"/>
      <c r="S34" s="19"/>
      <c r="T34" s="19"/>
      <c r="U34" s="19"/>
      <c r="V34" s="15" t="str">
        <f t="shared" ca="1" si="0"/>
        <v>—</v>
      </c>
    </row>
    <row r="35" spans="1:22" ht="38" customHeight="1" x14ac:dyDescent="0.3">
      <c r="A35" s="15">
        <f>IF('تحليل الفجوة'!$R35="نعم",COUNTIF('تحليل الفجوة'!$R$4:'تحليل الفجوة'!$R35,"نعم"),"—")</f>
        <v>16</v>
      </c>
      <c r="B35" s="15" t="str">
        <f>'تحليل الفجوة'!$R35</f>
        <v>نعم</v>
      </c>
      <c r="C35" s="17" t="str">
        <f>IF($B35="لا","",'تحليل الفجوة'!$B35)</f>
        <v>ISO 10001:2018</v>
      </c>
      <c r="D35" s="17" t="str">
        <f>IF($B35="لا","",'تحليل الفجوة'!$C35)</f>
        <v>4.13</v>
      </c>
      <c r="E35" s="18" t="str">
        <f>IF($B35="لا","",'تحليل الفجوة'!$D35)</f>
        <v>التوقيت المناسب</v>
      </c>
      <c r="F35" s="17" t="str">
        <f>IF($B35="لا","",'تحليل الفجوة'!$S35)</f>
        <v>تحليل فجوة</v>
      </c>
      <c r="G35" s="17" t="str">
        <f>IF($B35="لا","",'تحليل الفجوة'!$J35)</f>
        <v>مطبق جزئياً</v>
      </c>
      <c r="H35" s="17" t="str">
        <f>IF($B35="لا","",'تحليل الفجوة'!$N35)</f>
        <v>فرصة تحسين</v>
      </c>
      <c r="I35" s="17" t="str">
        <f>IF($B35="لا","",'تحليل الفجوة'!$T35)</f>
        <v>عالية</v>
      </c>
      <c r="J35" s="18" t="str">
        <f>IF($B35="لا","",'تحليل الفجوة'!$O35)</f>
        <v>التطبيق قائم على أشخاص لا على إجراء — ينهار بتغيّر الموظف</v>
      </c>
      <c r="K35" s="18" t="str">
        <f>IF($B35="لا","",'تحليل الفجوة'!$H35)</f>
        <v>IMT-ISE-CR-CHT-001</v>
      </c>
      <c r="L35" s="13" t="s">
        <v>681</v>
      </c>
      <c r="M35" s="10" t="s">
        <v>110</v>
      </c>
      <c r="N35" s="10" t="s">
        <v>88</v>
      </c>
      <c r="O35" s="10" t="s">
        <v>106</v>
      </c>
      <c r="P35" s="16">
        <v>46255</v>
      </c>
      <c r="Q35" s="16">
        <v>46375</v>
      </c>
      <c r="R35" s="11" t="s">
        <v>80</v>
      </c>
      <c r="S35" s="11">
        <v>25</v>
      </c>
      <c r="T35" s="10" t="s">
        <v>81</v>
      </c>
      <c r="U35" s="16"/>
      <c r="V35" s="15" t="str">
        <f t="shared" ca="1" si="0"/>
        <v>ضمن المدة</v>
      </c>
    </row>
    <row r="36" spans="1:22" ht="38" customHeight="1" x14ac:dyDescent="0.3">
      <c r="A36" s="15">
        <f>IF('تحليل الفجوة'!$R36="نعم",COUNTIF('تحليل الفجوة'!$R$4:'تحليل الفجوة'!$R36,"نعم"),"—")</f>
        <v>17</v>
      </c>
      <c r="B36" s="15" t="str">
        <f>'تحليل الفجوة'!$R36</f>
        <v>نعم</v>
      </c>
      <c r="C36" s="17" t="str">
        <f>IF($B36="لا","",'تحليل الفجوة'!$B36)</f>
        <v>ISO 10001:2018</v>
      </c>
      <c r="D36" s="17" t="str">
        <f>IF($B36="لا","",'تحليل الفجوة'!$C36)</f>
        <v>5.1</v>
      </c>
      <c r="E36" s="18" t="str">
        <f>IF($B36="لا","",'تحليل الفجوة'!$D36)</f>
        <v>سياق المنظمة</v>
      </c>
      <c r="F36" s="17" t="str">
        <f>IF($B36="لا","",'تحليل الفجوة'!$S36)</f>
        <v>تحليل فجوة + تدقيق</v>
      </c>
      <c r="G36" s="17" t="str">
        <f>IF($B36="لا","",'تحليل الفجوة'!$J36)</f>
        <v>مطبق جزئياً</v>
      </c>
      <c r="H36" s="17" t="str">
        <f>IF($B36="لا","",'تحليل الفجوة'!$N36)</f>
        <v>عدم مطابقة صغرى</v>
      </c>
      <c r="I36" s="17" t="str">
        <f>IF($B36="لا","",'تحليل الفجوة'!$T36)</f>
        <v>عالية</v>
      </c>
      <c r="J36" s="18" t="str">
        <f>IF($B36="لا","",'تحليل الفجوة'!$O36)</f>
        <v>التطبيق قائم على أشخاص لا على إجراء — ينهار بتغيّر الموظف</v>
      </c>
      <c r="K36" s="18" t="str">
        <f>IF($B36="لا","",'تحليل الفجوة'!$H36)</f>
        <v>IMT-ISE-CR-PRO-001</v>
      </c>
      <c r="L36" s="13" t="s">
        <v>682</v>
      </c>
      <c r="M36" s="10" t="s">
        <v>67</v>
      </c>
      <c r="N36" s="10" t="s">
        <v>88</v>
      </c>
      <c r="O36" s="10" t="s">
        <v>89</v>
      </c>
      <c r="P36" s="16">
        <v>46249</v>
      </c>
      <c r="Q36" s="16">
        <v>46294</v>
      </c>
      <c r="R36" s="11" t="s">
        <v>80</v>
      </c>
      <c r="S36" s="11">
        <v>75</v>
      </c>
      <c r="T36" s="10" t="s">
        <v>81</v>
      </c>
      <c r="U36" s="16"/>
      <c r="V36" s="15" t="str">
        <f t="shared" ref="V36:V67" ca="1" si="1">IF($B36="لا","—",IF($R36="مكتمل","مغلق",IF($Q36="","—",IF($Q36&lt;TODAY(),"متأخر","ضمن المدة"))))</f>
        <v>ضمن المدة</v>
      </c>
    </row>
    <row r="37" spans="1:22" ht="38" customHeight="1" x14ac:dyDescent="0.3">
      <c r="A37" s="15">
        <f>IF('تحليل الفجوة'!$R37="نعم",COUNTIF('تحليل الفجوة'!$R$4:'تحليل الفجوة'!$R37,"نعم"),"—")</f>
        <v>18</v>
      </c>
      <c r="B37" s="15" t="str">
        <f>'تحليل الفجوة'!$R37</f>
        <v>نعم</v>
      </c>
      <c r="C37" s="17" t="str">
        <f>IF($B37="لا","",'تحليل الفجوة'!$B37)</f>
        <v>ISO 10001:2018</v>
      </c>
      <c r="D37" s="17" t="str">
        <f>IF($B37="لا","",'تحليل الفجوة'!$C37)</f>
        <v>5.2</v>
      </c>
      <c r="E37" s="18" t="str">
        <f>IF($B37="لا","",'تحليل الفجوة'!$D37)</f>
        <v>إرساء الميثاق</v>
      </c>
      <c r="F37" s="17" t="str">
        <f>IF($B37="لا","",'تحليل الفجوة'!$S37)</f>
        <v>تحليل فجوة + تدقيق</v>
      </c>
      <c r="G37" s="17" t="str">
        <f>IF($B37="لا","",'تحليل الفجوة'!$J37)</f>
        <v>مطبق جزئياً</v>
      </c>
      <c r="H37" s="17" t="str">
        <f>IF($B37="لا","",'تحليل الفجوة'!$N37)</f>
        <v>عدم مطابقة صغرى</v>
      </c>
      <c r="I37" s="17" t="str">
        <f>IF($B37="لا","",'تحليل الفجوة'!$T37)</f>
        <v>عالية</v>
      </c>
      <c r="J37" s="18" t="str">
        <f>IF($B37="لا","",'تحليل الفجوة'!$O37)</f>
        <v>الدورية غير منضبطة ولا يوجد تذكير أو مالك للمتابعة</v>
      </c>
      <c r="K37" s="18" t="str">
        <f>IF($B37="لا","",'تحليل الفجوة'!$H37)</f>
        <v>IMT-ISE-CM-PRO-001</v>
      </c>
      <c r="L37" s="13" t="s">
        <v>682</v>
      </c>
      <c r="M37" s="10" t="s">
        <v>67</v>
      </c>
      <c r="N37" s="10" t="s">
        <v>111</v>
      </c>
      <c r="O37" s="10" t="s">
        <v>79</v>
      </c>
      <c r="P37" s="16">
        <v>46208</v>
      </c>
      <c r="Q37" s="16">
        <v>46253</v>
      </c>
      <c r="R37" s="11" t="s">
        <v>90</v>
      </c>
      <c r="S37" s="11">
        <v>100</v>
      </c>
      <c r="T37" s="10" t="s">
        <v>91</v>
      </c>
      <c r="U37" s="16">
        <v>46249</v>
      </c>
      <c r="V37" s="15" t="str">
        <f t="shared" ca="1" si="1"/>
        <v>مغلق</v>
      </c>
    </row>
    <row r="38" spans="1:22" ht="38" customHeight="1" x14ac:dyDescent="0.3">
      <c r="A38" s="15">
        <f>IF('تحليل الفجوة'!$R38="نعم",COUNTIF('تحليل الفجوة'!$R$4:'تحليل الفجوة'!$R38,"نعم"),"—")</f>
        <v>19</v>
      </c>
      <c r="B38" s="15" t="str">
        <f>'تحليل الفجوة'!$R38</f>
        <v>نعم</v>
      </c>
      <c r="C38" s="17" t="str">
        <f>IF($B38="لا","",'تحليل الفجوة'!$B38)</f>
        <v>ISO 10001:2018</v>
      </c>
      <c r="D38" s="17" t="str">
        <f>IF($B38="لا","",'تحليل الفجوة'!$C38)</f>
        <v>5.3</v>
      </c>
      <c r="E38" s="18" t="str">
        <f>IF($B38="لا","",'تحليل الفجوة'!$D38)</f>
        <v>تكامل الميثاق مع أنظمة المنظمة</v>
      </c>
      <c r="F38" s="17" t="str">
        <f>IF($B38="لا","",'تحليل الفجوة'!$S38)</f>
        <v>تحليل فجوة + تدقيق</v>
      </c>
      <c r="G38" s="17" t="str">
        <f>IF($B38="لا","",'تحليل الفجوة'!$J38)</f>
        <v>مطبق جزئياً</v>
      </c>
      <c r="H38" s="17" t="str">
        <f>IF($B38="لا","",'تحليل الفجوة'!$N38)</f>
        <v>عدم مطابقة صغرى</v>
      </c>
      <c r="I38" s="17" t="str">
        <f>IF($B38="لا","",'تحليل الفجوة'!$T38)</f>
        <v>عالية</v>
      </c>
      <c r="J38" s="18" t="str">
        <f>IF($B38="لا","",'تحليل الفجوة'!$O38)</f>
        <v>الوثيقة موجودة والسجل غير مفعَّل — الفجوة في التشغيل لا في التوثيق</v>
      </c>
      <c r="K38" s="18" t="str">
        <f>IF($B38="لا","",'تحليل الفجوة'!$H38)</f>
        <v>IMT-ISE-CR-MAN-001</v>
      </c>
      <c r="L38" s="13" t="s">
        <v>678</v>
      </c>
      <c r="M38" s="10" t="s">
        <v>96</v>
      </c>
      <c r="N38" s="10" t="s">
        <v>88</v>
      </c>
      <c r="O38" s="10" t="s">
        <v>106</v>
      </c>
      <c r="P38" s="16">
        <v>46204</v>
      </c>
      <c r="Q38" s="16">
        <v>46239</v>
      </c>
      <c r="R38" s="11" t="s">
        <v>90</v>
      </c>
      <c r="S38" s="11">
        <v>100</v>
      </c>
      <c r="T38" s="10" t="s">
        <v>91</v>
      </c>
      <c r="U38" s="16">
        <v>46228</v>
      </c>
      <c r="V38" s="15" t="str">
        <f t="shared" ca="1" si="1"/>
        <v>مغلق</v>
      </c>
    </row>
    <row r="39" spans="1:22" ht="38" customHeight="1" x14ac:dyDescent="0.3">
      <c r="A39" s="15">
        <f>IF('تحليل الفجوة'!$R39="نعم",COUNTIF('تحليل الفجوة'!$R$4:'تحليل الفجوة'!$R39,"نعم"),"—")</f>
        <v>20</v>
      </c>
      <c r="B39" s="15" t="str">
        <f>'تحليل الفجوة'!$R39</f>
        <v>نعم</v>
      </c>
      <c r="C39" s="17" t="str">
        <f>IF($B39="لا","",'تحليل الفجوة'!$B39)</f>
        <v>ISO 10001:2018</v>
      </c>
      <c r="D39" s="17" t="str">
        <f>IF($B39="لا","",'تحليل الفجوة'!$C39)</f>
        <v>6.1</v>
      </c>
      <c r="E39" s="18" t="str">
        <f>IF($B39="لا","",'تحليل الفجوة'!$D39)</f>
        <v>تحديد أهداف الميثاق</v>
      </c>
      <c r="F39" s="17" t="str">
        <f>IF($B39="لا","",'تحليل الفجوة'!$S39)</f>
        <v>تحليل فجوة</v>
      </c>
      <c r="G39" s="17" t="str">
        <f>IF($B39="لا","",'تحليل الفجوة'!$J39)</f>
        <v>مطبق جزئياً</v>
      </c>
      <c r="H39" s="17" t="str">
        <f>IF($B39="لا","",'تحليل الفجوة'!$N39)</f>
        <v>ملاحظة</v>
      </c>
      <c r="I39" s="17" t="str">
        <f>IF($B39="لا","",'تحليل الفجوة'!$T39)</f>
        <v>عالية</v>
      </c>
      <c r="J39" s="18" t="str">
        <f>IF($B39="لا","",'تحليل الفجوة'!$O39)</f>
        <v>المخرج لا يُغذّي أي قرار حالياً — يُنتج ثم يُحفظ</v>
      </c>
      <c r="K39" s="18" t="str">
        <f>IF($B39="لا","",'تحليل الفجوة'!$H39)</f>
        <v>IMT-ISE-CM-PRO-001</v>
      </c>
      <c r="L39" s="13" t="s">
        <v>677</v>
      </c>
      <c r="M39" s="10" t="s">
        <v>87</v>
      </c>
      <c r="N39" s="10" t="s">
        <v>88</v>
      </c>
      <c r="O39" s="10" t="s">
        <v>112</v>
      </c>
      <c r="P39" s="16">
        <v>46207</v>
      </c>
      <c r="Q39" s="16">
        <v>46247</v>
      </c>
      <c r="R39" s="11" t="s">
        <v>70</v>
      </c>
      <c r="S39" s="11">
        <v>0</v>
      </c>
      <c r="T39" s="10" t="s">
        <v>71</v>
      </c>
      <c r="U39" s="16"/>
      <c r="V39" s="15" t="str">
        <f t="shared" ca="1" si="1"/>
        <v>متأخر</v>
      </c>
    </row>
    <row r="40" spans="1:22" ht="38" hidden="1" customHeight="1" x14ac:dyDescent="0.3">
      <c r="A40" s="15" t="str">
        <f>IF('تحليل الفجوة'!$R40="نعم",COUNTIF('تحليل الفجوة'!$R$4:'تحليل الفجوة'!$R40,"نعم"),"—")</f>
        <v>—</v>
      </c>
      <c r="B40" s="15" t="str">
        <f>'تحليل الفجوة'!$R40</f>
        <v>لا</v>
      </c>
      <c r="C40" s="17" t="str">
        <f>IF($B40="لا","",'تحليل الفجوة'!$B40)</f>
        <v/>
      </c>
      <c r="D40" s="17" t="str">
        <f>IF($B40="لا","",'تحليل الفجوة'!$C40)</f>
        <v/>
      </c>
      <c r="E40" s="18" t="str">
        <f>IF($B40="لا","",'تحليل الفجوة'!$D40)</f>
        <v/>
      </c>
      <c r="F40" s="17" t="str">
        <f>IF($B40="لا","",'تحليل الفجوة'!$S40)</f>
        <v/>
      </c>
      <c r="G40" s="17" t="str">
        <f>IF($B40="لا","",'تحليل الفجوة'!$J40)</f>
        <v/>
      </c>
      <c r="H40" s="17" t="str">
        <f>IF($B40="لا","",'تحليل الفجوة'!$N40)</f>
        <v/>
      </c>
      <c r="I40" s="17" t="str">
        <f>IF($B40="لا","",'تحليل الفجوة'!$T40)</f>
        <v/>
      </c>
      <c r="J40" s="18" t="str">
        <f>IF($B40="لا","",'تحليل الفجوة'!$O40)</f>
        <v/>
      </c>
      <c r="K40" s="18" t="str">
        <f>IF($B40="لا","",'تحليل الفجوة'!$H40)</f>
        <v/>
      </c>
      <c r="L40" s="19"/>
      <c r="M40" s="19"/>
      <c r="N40" s="19"/>
      <c r="O40" s="19"/>
      <c r="P40" s="19"/>
      <c r="Q40" s="19"/>
      <c r="R40" s="19"/>
      <c r="S40" s="19"/>
      <c r="T40" s="19"/>
      <c r="U40" s="19"/>
      <c r="V40" s="15" t="str">
        <f t="shared" ca="1" si="1"/>
        <v>—</v>
      </c>
    </row>
    <row r="41" spans="1:22" ht="38" hidden="1" customHeight="1" x14ac:dyDescent="0.3">
      <c r="A41" s="15" t="str">
        <f>IF('تحليل الفجوة'!$R41="نعم",COUNTIF('تحليل الفجوة'!$R$4:'تحليل الفجوة'!$R41,"نعم"),"—")</f>
        <v>—</v>
      </c>
      <c r="B41" s="15" t="str">
        <f>'تحليل الفجوة'!$R41</f>
        <v>لا</v>
      </c>
      <c r="C41" s="17" t="str">
        <f>IF($B41="لا","",'تحليل الفجوة'!$B41)</f>
        <v/>
      </c>
      <c r="D41" s="17" t="str">
        <f>IF($B41="لا","",'تحليل الفجوة'!$C41)</f>
        <v/>
      </c>
      <c r="E41" s="18" t="str">
        <f>IF($B41="لا","",'تحليل الفجوة'!$D41)</f>
        <v/>
      </c>
      <c r="F41" s="17" t="str">
        <f>IF($B41="لا","",'تحليل الفجوة'!$S41)</f>
        <v/>
      </c>
      <c r="G41" s="17" t="str">
        <f>IF($B41="لا","",'تحليل الفجوة'!$J41)</f>
        <v/>
      </c>
      <c r="H41" s="17" t="str">
        <f>IF($B41="لا","",'تحليل الفجوة'!$N41)</f>
        <v/>
      </c>
      <c r="I41" s="17" t="str">
        <f>IF($B41="لا","",'تحليل الفجوة'!$T41)</f>
        <v/>
      </c>
      <c r="J41" s="18" t="str">
        <f>IF($B41="لا","",'تحليل الفجوة'!$O41)</f>
        <v/>
      </c>
      <c r="K41" s="18" t="str">
        <f>IF($B41="لا","",'تحليل الفجوة'!$H41)</f>
        <v/>
      </c>
      <c r="L41" s="19"/>
      <c r="M41" s="19"/>
      <c r="N41" s="19"/>
      <c r="O41" s="19"/>
      <c r="P41" s="19"/>
      <c r="Q41" s="19"/>
      <c r="R41" s="19"/>
      <c r="S41" s="19"/>
      <c r="T41" s="19"/>
      <c r="U41" s="19"/>
      <c r="V41" s="15" t="str">
        <f t="shared" ca="1" si="1"/>
        <v>—</v>
      </c>
    </row>
    <row r="42" spans="1:22" ht="38" hidden="1" customHeight="1" x14ac:dyDescent="0.3">
      <c r="A42" s="15" t="str">
        <f>IF('تحليل الفجوة'!$R42="نعم",COUNTIF('تحليل الفجوة'!$R$4:'تحليل الفجوة'!$R42,"نعم"),"—")</f>
        <v>—</v>
      </c>
      <c r="B42" s="15" t="str">
        <f>'تحليل الفجوة'!$R42</f>
        <v>لا</v>
      </c>
      <c r="C42" s="17" t="str">
        <f>IF($B42="لا","",'تحليل الفجوة'!$B42)</f>
        <v/>
      </c>
      <c r="D42" s="17" t="str">
        <f>IF($B42="لا","",'تحليل الفجوة'!$C42)</f>
        <v/>
      </c>
      <c r="E42" s="18" t="str">
        <f>IF($B42="لا","",'تحليل الفجوة'!$D42)</f>
        <v/>
      </c>
      <c r="F42" s="17" t="str">
        <f>IF($B42="لا","",'تحليل الفجوة'!$S42)</f>
        <v/>
      </c>
      <c r="G42" s="17" t="str">
        <f>IF($B42="لا","",'تحليل الفجوة'!$J42)</f>
        <v/>
      </c>
      <c r="H42" s="17" t="str">
        <f>IF($B42="لا","",'تحليل الفجوة'!$N42)</f>
        <v/>
      </c>
      <c r="I42" s="17" t="str">
        <f>IF($B42="لا","",'تحليل الفجوة'!$T42)</f>
        <v/>
      </c>
      <c r="J42" s="18" t="str">
        <f>IF($B42="لا","",'تحليل الفجوة'!$O42)</f>
        <v/>
      </c>
      <c r="K42" s="18" t="str">
        <f>IF($B42="لا","",'تحليل الفجوة'!$H42)</f>
        <v/>
      </c>
      <c r="L42" s="19"/>
      <c r="M42" s="19"/>
      <c r="N42" s="19"/>
      <c r="O42" s="19"/>
      <c r="P42" s="19"/>
      <c r="Q42" s="19"/>
      <c r="R42" s="19"/>
      <c r="S42" s="19"/>
      <c r="T42" s="19"/>
      <c r="U42" s="19"/>
      <c r="V42" s="15" t="str">
        <f t="shared" ca="1" si="1"/>
        <v>—</v>
      </c>
    </row>
    <row r="43" spans="1:22" ht="38" hidden="1" customHeight="1" x14ac:dyDescent="0.3">
      <c r="A43" s="15" t="str">
        <f>IF('تحليل الفجوة'!$R43="نعم",COUNTIF('تحليل الفجوة'!$R$4:'تحليل الفجوة'!$R43,"نعم"),"—")</f>
        <v>—</v>
      </c>
      <c r="B43" s="15" t="str">
        <f>'تحليل الفجوة'!$R43</f>
        <v>لا</v>
      </c>
      <c r="C43" s="17" t="str">
        <f>IF($B43="لا","",'تحليل الفجوة'!$B43)</f>
        <v/>
      </c>
      <c r="D43" s="17" t="str">
        <f>IF($B43="لا","",'تحليل الفجوة'!$C43)</f>
        <v/>
      </c>
      <c r="E43" s="18" t="str">
        <f>IF($B43="لا","",'تحليل الفجوة'!$D43)</f>
        <v/>
      </c>
      <c r="F43" s="17" t="str">
        <f>IF($B43="لا","",'تحليل الفجوة'!$S43)</f>
        <v/>
      </c>
      <c r="G43" s="17" t="str">
        <f>IF($B43="لا","",'تحليل الفجوة'!$J43)</f>
        <v/>
      </c>
      <c r="H43" s="17" t="str">
        <f>IF($B43="لا","",'تحليل الفجوة'!$N43)</f>
        <v/>
      </c>
      <c r="I43" s="17" t="str">
        <f>IF($B43="لا","",'تحليل الفجوة'!$T43)</f>
        <v/>
      </c>
      <c r="J43" s="18" t="str">
        <f>IF($B43="لا","",'تحليل الفجوة'!$O43)</f>
        <v/>
      </c>
      <c r="K43" s="18" t="str">
        <f>IF($B43="لا","",'تحليل الفجوة'!$H43)</f>
        <v/>
      </c>
      <c r="L43" s="19"/>
      <c r="M43" s="19"/>
      <c r="N43" s="19"/>
      <c r="O43" s="19"/>
      <c r="P43" s="19"/>
      <c r="Q43" s="19"/>
      <c r="R43" s="19"/>
      <c r="S43" s="19"/>
      <c r="T43" s="19"/>
      <c r="U43" s="19"/>
      <c r="V43" s="15" t="str">
        <f t="shared" ca="1" si="1"/>
        <v>—</v>
      </c>
    </row>
    <row r="44" spans="1:22" ht="38" hidden="1" customHeight="1" x14ac:dyDescent="0.3">
      <c r="A44" s="15" t="str">
        <f>IF('تحليل الفجوة'!$R44="نعم",COUNTIF('تحليل الفجوة'!$R$4:'تحليل الفجوة'!$R44,"نعم"),"—")</f>
        <v>—</v>
      </c>
      <c r="B44" s="15" t="str">
        <f>'تحليل الفجوة'!$R44</f>
        <v>لا</v>
      </c>
      <c r="C44" s="17" t="str">
        <f>IF($B44="لا","",'تحليل الفجوة'!$B44)</f>
        <v/>
      </c>
      <c r="D44" s="17" t="str">
        <f>IF($B44="لا","",'تحليل الفجوة'!$C44)</f>
        <v/>
      </c>
      <c r="E44" s="18" t="str">
        <f>IF($B44="لا","",'تحليل الفجوة'!$D44)</f>
        <v/>
      </c>
      <c r="F44" s="17" t="str">
        <f>IF($B44="لا","",'تحليل الفجوة'!$S44)</f>
        <v/>
      </c>
      <c r="G44" s="17" t="str">
        <f>IF($B44="لا","",'تحليل الفجوة'!$J44)</f>
        <v/>
      </c>
      <c r="H44" s="17" t="str">
        <f>IF($B44="لا","",'تحليل الفجوة'!$N44)</f>
        <v/>
      </c>
      <c r="I44" s="17" t="str">
        <f>IF($B44="لا","",'تحليل الفجوة'!$T44)</f>
        <v/>
      </c>
      <c r="J44" s="18" t="str">
        <f>IF($B44="لا","",'تحليل الفجوة'!$O44)</f>
        <v/>
      </c>
      <c r="K44" s="18" t="str">
        <f>IF($B44="لا","",'تحليل الفجوة'!$H44)</f>
        <v/>
      </c>
      <c r="L44" s="19"/>
      <c r="M44" s="19"/>
      <c r="N44" s="19"/>
      <c r="O44" s="19"/>
      <c r="P44" s="19"/>
      <c r="Q44" s="19"/>
      <c r="R44" s="19"/>
      <c r="S44" s="19"/>
      <c r="T44" s="19"/>
      <c r="U44" s="19"/>
      <c r="V44" s="15" t="str">
        <f t="shared" ca="1" si="1"/>
        <v>—</v>
      </c>
    </row>
    <row r="45" spans="1:22" ht="38" customHeight="1" x14ac:dyDescent="0.3">
      <c r="A45" s="15">
        <f>IF('تحليل الفجوة'!$R45="نعم",COUNTIF('تحليل الفجوة'!$R$4:'تحليل الفجوة'!$R45,"نعم"),"—")</f>
        <v>21</v>
      </c>
      <c r="B45" s="15" t="str">
        <f>'تحليل الفجوة'!$R45</f>
        <v>نعم</v>
      </c>
      <c r="C45" s="17" t="str">
        <f>IF($B45="لا","",'تحليل الفجوة'!$B45)</f>
        <v>ISO 10001:2018</v>
      </c>
      <c r="D45" s="17" t="str">
        <f>IF($B45="لا","",'تحليل الفجوة'!$C45)</f>
        <v>6.7</v>
      </c>
      <c r="E45" s="18" t="str">
        <f>IF($B45="لا","",'تحليل الفجوة'!$D45)</f>
        <v>إعداد خطة التواصل الداخلي والخارجي</v>
      </c>
      <c r="F45" s="17" t="str">
        <f>IF($B45="لا","",'تحليل الفجوة'!$S45)</f>
        <v>تحليل فجوة + تدقيق</v>
      </c>
      <c r="G45" s="17" t="str">
        <f>IF($B45="لا","",'تحليل الفجوة'!$J45)</f>
        <v>مطبق جزئياً</v>
      </c>
      <c r="H45" s="17" t="str">
        <f>IF($B45="لا","",'تحليل الفجوة'!$N45)</f>
        <v>عدم مطابقة صغرى</v>
      </c>
      <c r="I45" s="17" t="str">
        <f>IF($B45="لا","",'تحليل الفجوة'!$T45)</f>
        <v>عالية</v>
      </c>
      <c r="J45" s="18" t="str">
        <f>IF($B45="لا","",'تحليل الفجوة'!$O45)</f>
        <v>الدورية غير منضبطة ولا يوجد تذكير أو مالك للمتابعة</v>
      </c>
      <c r="K45" s="18" t="str">
        <f>IF($B45="لا","",'تحليل الفجوة'!$H45)</f>
        <v>IMT-ISE-SH-PRO-001</v>
      </c>
      <c r="L45" s="13" t="s">
        <v>682</v>
      </c>
      <c r="M45" s="10" t="s">
        <v>67</v>
      </c>
      <c r="N45" s="10" t="s">
        <v>88</v>
      </c>
      <c r="O45" s="10" t="s">
        <v>112</v>
      </c>
      <c r="P45" s="16">
        <v>46230</v>
      </c>
      <c r="Q45" s="16">
        <v>46275</v>
      </c>
      <c r="R45" s="11" t="s">
        <v>70</v>
      </c>
      <c r="S45" s="11">
        <v>0</v>
      </c>
      <c r="T45" s="10" t="s">
        <v>71</v>
      </c>
      <c r="U45" s="16"/>
      <c r="V45" s="15" t="str">
        <f t="shared" ca="1" si="1"/>
        <v>ضمن المدة</v>
      </c>
    </row>
    <row r="46" spans="1:22" ht="38" hidden="1" customHeight="1" x14ac:dyDescent="0.3">
      <c r="A46" s="15" t="str">
        <f>IF('تحليل الفجوة'!$R46="نعم",COUNTIF('تحليل الفجوة'!$R$4:'تحليل الفجوة'!$R46,"نعم"),"—")</f>
        <v>—</v>
      </c>
      <c r="B46" s="15" t="str">
        <f>'تحليل الفجوة'!$R46</f>
        <v>لا</v>
      </c>
      <c r="C46" s="17" t="str">
        <f>IF($B46="لا","",'تحليل الفجوة'!$B46)</f>
        <v/>
      </c>
      <c r="D46" s="17" t="str">
        <f>IF($B46="لا","",'تحليل الفجوة'!$C46)</f>
        <v/>
      </c>
      <c r="E46" s="18" t="str">
        <f>IF($B46="لا","",'تحليل الفجوة'!$D46)</f>
        <v/>
      </c>
      <c r="F46" s="17" t="str">
        <f>IF($B46="لا","",'تحليل الفجوة'!$S46)</f>
        <v/>
      </c>
      <c r="G46" s="17" t="str">
        <f>IF($B46="لا","",'تحليل الفجوة'!$J46)</f>
        <v/>
      </c>
      <c r="H46" s="17" t="str">
        <f>IF($B46="لا","",'تحليل الفجوة'!$N46)</f>
        <v/>
      </c>
      <c r="I46" s="17" t="str">
        <f>IF($B46="لا","",'تحليل الفجوة'!$T46)</f>
        <v/>
      </c>
      <c r="J46" s="18" t="str">
        <f>IF($B46="لا","",'تحليل الفجوة'!$O46)</f>
        <v/>
      </c>
      <c r="K46" s="18" t="str">
        <f>IF($B46="لا","",'تحليل الفجوة'!$H46)</f>
        <v/>
      </c>
      <c r="L46" s="19"/>
      <c r="M46" s="19"/>
      <c r="N46" s="19"/>
      <c r="O46" s="19"/>
      <c r="P46" s="19"/>
      <c r="Q46" s="19"/>
      <c r="R46" s="19"/>
      <c r="S46" s="19"/>
      <c r="T46" s="19"/>
      <c r="U46" s="19"/>
      <c r="V46" s="15" t="str">
        <f t="shared" ca="1" si="1"/>
        <v>—</v>
      </c>
    </row>
    <row r="47" spans="1:22" ht="38" hidden="1" customHeight="1" x14ac:dyDescent="0.3">
      <c r="A47" s="15" t="str">
        <f>IF('تحليل الفجوة'!$R47="نعم",COUNTIF('تحليل الفجوة'!$R$4:'تحليل الفجوة'!$R47,"نعم"),"—")</f>
        <v>—</v>
      </c>
      <c r="B47" s="15" t="str">
        <f>'تحليل الفجوة'!$R47</f>
        <v>لا</v>
      </c>
      <c r="C47" s="17" t="str">
        <f>IF($B47="لا","",'تحليل الفجوة'!$B47)</f>
        <v/>
      </c>
      <c r="D47" s="17" t="str">
        <f>IF($B47="لا","",'تحليل الفجوة'!$C47)</f>
        <v/>
      </c>
      <c r="E47" s="18" t="str">
        <f>IF($B47="لا","",'تحليل الفجوة'!$D47)</f>
        <v/>
      </c>
      <c r="F47" s="17" t="str">
        <f>IF($B47="لا","",'تحليل الفجوة'!$S47)</f>
        <v/>
      </c>
      <c r="G47" s="17" t="str">
        <f>IF($B47="لا","",'تحليل الفجوة'!$J47)</f>
        <v/>
      </c>
      <c r="H47" s="17" t="str">
        <f>IF($B47="لا","",'تحليل الفجوة'!$N47)</f>
        <v/>
      </c>
      <c r="I47" s="17" t="str">
        <f>IF($B47="لا","",'تحليل الفجوة'!$T47)</f>
        <v/>
      </c>
      <c r="J47" s="18" t="str">
        <f>IF($B47="لا","",'تحليل الفجوة'!$O47)</f>
        <v/>
      </c>
      <c r="K47" s="18" t="str">
        <f>IF($B47="لا","",'تحليل الفجوة'!$H47)</f>
        <v/>
      </c>
      <c r="L47" s="19"/>
      <c r="M47" s="19"/>
      <c r="N47" s="19"/>
      <c r="O47" s="19"/>
      <c r="P47" s="19"/>
      <c r="Q47" s="19"/>
      <c r="R47" s="19"/>
      <c r="S47" s="19"/>
      <c r="T47" s="19"/>
      <c r="U47" s="19"/>
      <c r="V47" s="15" t="str">
        <f t="shared" ca="1" si="1"/>
        <v>—</v>
      </c>
    </row>
    <row r="48" spans="1:22" ht="38" customHeight="1" x14ac:dyDescent="0.3">
      <c r="A48" s="15">
        <f>IF('تحليل الفجوة'!$R48="نعم",COUNTIF('تحليل الفجوة'!$R$4:'تحليل الفجوة'!$R48,"نعم"),"—")</f>
        <v>22</v>
      </c>
      <c r="B48" s="15" t="str">
        <f>'تحليل الفجوة'!$R48</f>
        <v>نعم</v>
      </c>
      <c r="C48" s="17" t="str">
        <f>IF($B48="لا","",'تحليل الفجوة'!$B48)</f>
        <v>ISO 10001:2018</v>
      </c>
      <c r="D48" s="17" t="str">
        <f>IF($B48="لا","",'تحليل الفجوة'!$C48)</f>
        <v>8.1</v>
      </c>
      <c r="E48" s="18" t="str">
        <f>IF($B48="لا","",'تحليل الفجوة'!$D48)</f>
        <v>جمع المعلومات</v>
      </c>
      <c r="F48" s="17" t="str">
        <f>IF($B48="لا","",'تحليل الفجوة'!$S48)</f>
        <v>تحليل فجوة</v>
      </c>
      <c r="G48" s="17" t="str">
        <f>IF($B48="لا","",'تحليل الفجوة'!$J48)</f>
        <v>مطبق جزئياً</v>
      </c>
      <c r="H48" s="17" t="str">
        <f>IF($B48="لا","",'تحليل الفجوة'!$N48)</f>
        <v>فرصة تحسين</v>
      </c>
      <c r="I48" s="17" t="str">
        <f>IF($B48="لا","",'تحليل الفجوة'!$T48)</f>
        <v>منخفضة</v>
      </c>
      <c r="J48" s="18" t="str">
        <f>IF($B48="لا","",'تحليل الفجوة'!$O48)</f>
        <v>الوثيقة موجودة والسجل غير مفعَّل — الفجوة في التشغيل لا في التوثيق</v>
      </c>
      <c r="K48" s="18" t="str">
        <f>IF($B48="لا","",'تحليل الفجوة'!$H48)</f>
        <v>IMT-ISE-SH-PRO-003</v>
      </c>
      <c r="L48" s="13" t="s">
        <v>677</v>
      </c>
      <c r="M48" s="10" t="s">
        <v>87</v>
      </c>
      <c r="N48" s="10" t="s">
        <v>111</v>
      </c>
      <c r="O48" s="10" t="s">
        <v>69</v>
      </c>
      <c r="P48" s="16">
        <v>46235</v>
      </c>
      <c r="Q48" s="16">
        <v>46275</v>
      </c>
      <c r="R48" s="11" t="s">
        <v>99</v>
      </c>
      <c r="S48" s="11">
        <v>50</v>
      </c>
      <c r="T48" s="10" t="s">
        <v>71</v>
      </c>
      <c r="U48" s="16"/>
      <c r="V48" s="15" t="str">
        <f t="shared" ca="1" si="1"/>
        <v>ضمن المدة</v>
      </c>
    </row>
    <row r="49" spans="1:22" ht="38" hidden="1" customHeight="1" x14ac:dyDescent="0.3">
      <c r="A49" s="15" t="str">
        <f>IF('تحليل الفجوة'!$R49="نعم",COUNTIF('تحليل الفجوة'!$R$4:'تحليل الفجوة'!$R49,"نعم"),"—")</f>
        <v>—</v>
      </c>
      <c r="B49" s="15" t="str">
        <f>'تحليل الفجوة'!$R49</f>
        <v>لا</v>
      </c>
      <c r="C49" s="17" t="str">
        <f>IF($B49="لا","",'تحليل الفجوة'!$B49)</f>
        <v/>
      </c>
      <c r="D49" s="17" t="str">
        <f>IF($B49="لا","",'تحليل الفجوة'!$C49)</f>
        <v/>
      </c>
      <c r="E49" s="18" t="str">
        <f>IF($B49="لا","",'تحليل الفجوة'!$D49)</f>
        <v/>
      </c>
      <c r="F49" s="17" t="str">
        <f>IF($B49="لا","",'تحليل الفجوة'!$S49)</f>
        <v/>
      </c>
      <c r="G49" s="17" t="str">
        <f>IF($B49="لا","",'تحليل الفجوة'!$J49)</f>
        <v/>
      </c>
      <c r="H49" s="17" t="str">
        <f>IF($B49="لا","",'تحليل الفجوة'!$N49)</f>
        <v/>
      </c>
      <c r="I49" s="17" t="str">
        <f>IF($B49="لا","",'تحليل الفجوة'!$T49)</f>
        <v/>
      </c>
      <c r="J49" s="18" t="str">
        <f>IF($B49="لا","",'تحليل الفجوة'!$O49)</f>
        <v/>
      </c>
      <c r="K49" s="18" t="str">
        <f>IF($B49="لا","",'تحليل الفجوة'!$H49)</f>
        <v/>
      </c>
      <c r="L49" s="19"/>
      <c r="M49" s="19"/>
      <c r="N49" s="19"/>
      <c r="O49" s="19"/>
      <c r="P49" s="19"/>
      <c r="Q49" s="19"/>
      <c r="R49" s="19"/>
      <c r="S49" s="19"/>
      <c r="T49" s="19"/>
      <c r="U49" s="19"/>
      <c r="V49" s="15" t="str">
        <f t="shared" ca="1" si="1"/>
        <v>—</v>
      </c>
    </row>
    <row r="50" spans="1:22" ht="38" hidden="1" customHeight="1" x14ac:dyDescent="0.3">
      <c r="A50" s="15" t="str">
        <f>IF('تحليل الفجوة'!$R50="نعم",COUNTIF('تحليل الفجوة'!$R$4:'تحليل الفجوة'!$R50,"نعم"),"—")</f>
        <v>—</v>
      </c>
      <c r="B50" s="15" t="str">
        <f>'تحليل الفجوة'!$R50</f>
        <v>لا</v>
      </c>
      <c r="C50" s="17" t="str">
        <f>IF($B50="لا","",'تحليل الفجوة'!$B50)</f>
        <v/>
      </c>
      <c r="D50" s="17" t="str">
        <f>IF($B50="لا","",'تحليل الفجوة'!$C50)</f>
        <v/>
      </c>
      <c r="E50" s="18" t="str">
        <f>IF($B50="لا","",'تحليل الفجوة'!$D50)</f>
        <v/>
      </c>
      <c r="F50" s="17" t="str">
        <f>IF($B50="لا","",'تحليل الفجوة'!$S50)</f>
        <v/>
      </c>
      <c r="G50" s="17" t="str">
        <f>IF($B50="لا","",'تحليل الفجوة'!$J50)</f>
        <v/>
      </c>
      <c r="H50" s="17" t="str">
        <f>IF($B50="لا","",'تحليل الفجوة'!$N50)</f>
        <v/>
      </c>
      <c r="I50" s="17" t="str">
        <f>IF($B50="لا","",'تحليل الفجوة'!$T50)</f>
        <v/>
      </c>
      <c r="J50" s="18" t="str">
        <f>IF($B50="لا","",'تحليل الفجوة'!$O50)</f>
        <v/>
      </c>
      <c r="K50" s="18" t="str">
        <f>IF($B50="لا","",'تحليل الفجوة'!$H50)</f>
        <v/>
      </c>
      <c r="L50" s="19"/>
      <c r="M50" s="19"/>
      <c r="N50" s="19"/>
      <c r="O50" s="19"/>
      <c r="P50" s="19"/>
      <c r="Q50" s="19"/>
      <c r="R50" s="19"/>
      <c r="S50" s="19"/>
      <c r="T50" s="19"/>
      <c r="U50" s="19"/>
      <c r="V50" s="15" t="str">
        <f t="shared" ca="1" si="1"/>
        <v>—</v>
      </c>
    </row>
    <row r="51" spans="1:22" ht="38" customHeight="1" x14ac:dyDescent="0.3">
      <c r="A51" s="15">
        <f>IF('تحليل الفجوة'!$R51="نعم",COUNTIF('تحليل الفجوة'!$R$4:'تحليل الفجوة'!$R51,"نعم"),"—")</f>
        <v>23</v>
      </c>
      <c r="B51" s="15" t="str">
        <f>'تحليل الفجوة'!$R51</f>
        <v>نعم</v>
      </c>
      <c r="C51" s="17" t="str">
        <f>IF($B51="لا","",'تحليل الفجوة'!$B51)</f>
        <v>ISO 10001:2018</v>
      </c>
      <c r="D51" s="17" t="str">
        <f>IF($B51="لا","",'تحليل الفجوة'!$C51)</f>
        <v>8.4</v>
      </c>
      <c r="E51" s="18" t="str">
        <f>IF($B51="لا","",'تحليل الفجوة'!$D51)</f>
        <v>مراجعة الميثاق وإطاره</v>
      </c>
      <c r="F51" s="17" t="str">
        <f>IF($B51="لا","",'تحليل الفجوة'!$S51)</f>
        <v>تحليل فجوة</v>
      </c>
      <c r="G51" s="17" t="str">
        <f>IF($B51="لا","",'تحليل الفجوة'!$J51)</f>
        <v>غير مطبق</v>
      </c>
      <c r="H51" s="17" t="str">
        <f>IF($B51="لا","",'تحليل الفجوة'!$N51)</f>
        <v>ملاحظة</v>
      </c>
      <c r="I51" s="17" t="str">
        <f>IF($B51="لا","",'تحليل الفجوة'!$T51)</f>
        <v>حرجة</v>
      </c>
      <c r="J51" s="18" t="str">
        <f>IF($B51="لا","",'تحليل الفجوة'!$O51)</f>
        <v>لم تُعرَّف الأدوار والمسؤوليات لهذا البند</v>
      </c>
      <c r="K51" s="18" t="str">
        <f>IF($B51="لا","",'تحليل الفجوة'!$H51)</f>
        <v>IMT-ISE-SH-PRO-005</v>
      </c>
      <c r="L51" s="13" t="s">
        <v>680</v>
      </c>
      <c r="M51" s="10" t="s">
        <v>77</v>
      </c>
      <c r="N51" s="10" t="s">
        <v>111</v>
      </c>
      <c r="O51" s="10" t="s">
        <v>69</v>
      </c>
      <c r="P51" s="16">
        <v>46235</v>
      </c>
      <c r="Q51" s="16">
        <v>46310</v>
      </c>
      <c r="R51" s="11" t="s">
        <v>99</v>
      </c>
      <c r="S51" s="11">
        <v>50</v>
      </c>
      <c r="T51" s="10" t="s">
        <v>71</v>
      </c>
      <c r="U51" s="16"/>
      <c r="V51" s="15" t="str">
        <f t="shared" ca="1" si="1"/>
        <v>ضمن المدة</v>
      </c>
    </row>
    <row r="52" spans="1:22" ht="38" hidden="1" customHeight="1" x14ac:dyDescent="0.3">
      <c r="A52" s="15" t="str">
        <f>IF('تحليل الفجوة'!$R52="نعم",COUNTIF('تحليل الفجوة'!$R$4:'تحليل الفجوة'!$R52,"نعم"),"—")</f>
        <v>—</v>
      </c>
      <c r="B52" s="15" t="str">
        <f>'تحليل الفجوة'!$R52</f>
        <v>لا</v>
      </c>
      <c r="C52" s="17" t="str">
        <f>IF($B52="لا","",'تحليل الفجوة'!$B52)</f>
        <v/>
      </c>
      <c r="D52" s="17" t="str">
        <f>IF($B52="لا","",'تحليل الفجوة'!$C52)</f>
        <v/>
      </c>
      <c r="E52" s="18" t="str">
        <f>IF($B52="لا","",'تحليل الفجوة'!$D52)</f>
        <v/>
      </c>
      <c r="F52" s="17" t="str">
        <f>IF($B52="لا","",'تحليل الفجوة'!$S52)</f>
        <v/>
      </c>
      <c r="G52" s="17" t="str">
        <f>IF($B52="لا","",'تحليل الفجوة'!$J52)</f>
        <v/>
      </c>
      <c r="H52" s="17" t="str">
        <f>IF($B52="لا","",'تحليل الفجوة'!$N52)</f>
        <v/>
      </c>
      <c r="I52" s="17" t="str">
        <f>IF($B52="لا","",'تحليل الفجوة'!$T52)</f>
        <v/>
      </c>
      <c r="J52" s="18" t="str">
        <f>IF($B52="لا","",'تحليل الفجوة'!$O52)</f>
        <v/>
      </c>
      <c r="K52" s="18" t="str">
        <f>IF($B52="لا","",'تحليل الفجوة'!$H52)</f>
        <v/>
      </c>
      <c r="L52" s="19"/>
      <c r="M52" s="19"/>
      <c r="N52" s="19"/>
      <c r="O52" s="19"/>
      <c r="P52" s="19"/>
      <c r="Q52" s="19"/>
      <c r="R52" s="19"/>
      <c r="S52" s="19"/>
      <c r="T52" s="19"/>
      <c r="U52" s="19"/>
      <c r="V52" s="15" t="str">
        <f t="shared" ca="1" si="1"/>
        <v>—</v>
      </c>
    </row>
    <row r="53" spans="1:22" ht="38" hidden="1" customHeight="1" x14ac:dyDescent="0.3">
      <c r="A53" s="15" t="str">
        <f>IF('تحليل الفجوة'!$R53="نعم",COUNTIF('تحليل الفجوة'!$R$4:'تحليل الفجوة'!$R53,"نعم"),"—")</f>
        <v>—</v>
      </c>
      <c r="B53" s="15" t="str">
        <f>'تحليل الفجوة'!$R53</f>
        <v>لا</v>
      </c>
      <c r="C53" s="17" t="str">
        <f>IF($B53="لا","",'تحليل الفجوة'!$B53)</f>
        <v/>
      </c>
      <c r="D53" s="17" t="str">
        <f>IF($B53="لا","",'تحليل الفجوة'!$C53)</f>
        <v/>
      </c>
      <c r="E53" s="18" t="str">
        <f>IF($B53="لا","",'تحليل الفجوة'!$D53)</f>
        <v/>
      </c>
      <c r="F53" s="17" t="str">
        <f>IF($B53="لا","",'تحليل الفجوة'!$S53)</f>
        <v/>
      </c>
      <c r="G53" s="17" t="str">
        <f>IF($B53="لا","",'تحليل الفجوة'!$J53)</f>
        <v/>
      </c>
      <c r="H53" s="17" t="str">
        <f>IF($B53="لا","",'تحليل الفجوة'!$N53)</f>
        <v/>
      </c>
      <c r="I53" s="17" t="str">
        <f>IF($B53="لا","",'تحليل الفجوة'!$T53)</f>
        <v/>
      </c>
      <c r="J53" s="18" t="str">
        <f>IF($B53="لا","",'تحليل الفجوة'!$O53)</f>
        <v/>
      </c>
      <c r="K53" s="18" t="str">
        <f>IF($B53="لا","",'تحليل الفجوة'!$H53)</f>
        <v/>
      </c>
      <c r="L53" s="19"/>
      <c r="M53" s="19"/>
      <c r="N53" s="19"/>
      <c r="O53" s="19"/>
      <c r="P53" s="19"/>
      <c r="Q53" s="19"/>
      <c r="R53" s="19"/>
      <c r="S53" s="19"/>
      <c r="T53" s="19"/>
      <c r="U53" s="19"/>
      <c r="V53" s="15" t="str">
        <f t="shared" ca="1" si="1"/>
        <v>—</v>
      </c>
    </row>
    <row r="54" spans="1:22" ht="38" customHeight="1" x14ac:dyDescent="0.3">
      <c r="A54" s="15">
        <f>IF('تحليل الفجوة'!$R54="نعم",COUNTIF('تحليل الفجوة'!$R$4:'تحليل الفجوة'!$R54,"نعم"),"—")</f>
        <v>24</v>
      </c>
      <c r="B54" s="15" t="str">
        <f>'تحليل الفجوة'!$R54</f>
        <v>نعم</v>
      </c>
      <c r="C54" s="17" t="str">
        <f>IF($B54="لا","",'تحليل الفجوة'!$B54)</f>
        <v>ISO 10001:2018</v>
      </c>
      <c r="D54" s="17" t="str">
        <f>IF($B54="لا","",'تحليل الفجوة'!$C54)</f>
        <v>الملحق B</v>
      </c>
      <c r="E54" s="18" t="str">
        <f>IF($B54="لا","",'تحليل الفجوة'!$D54)</f>
        <v>العلاقة البينية بين المواصفات الأربع</v>
      </c>
      <c r="F54" s="17" t="str">
        <f>IF($B54="لا","",'تحليل الفجوة'!$S54)</f>
        <v>تحليل فجوة + تدقيق</v>
      </c>
      <c r="G54" s="17" t="str">
        <f>IF($B54="لا","",'تحليل الفجوة'!$J54)</f>
        <v>غير مطبق</v>
      </c>
      <c r="H54" s="17" t="str">
        <f>IF($B54="لا","",'تحليل الفجوة'!$N54)</f>
        <v>عدم مطابقة صغرى</v>
      </c>
      <c r="I54" s="17" t="str">
        <f>IF($B54="لا","",'تحليل الفجوة'!$T54)</f>
        <v>عالية</v>
      </c>
      <c r="J54" s="18" t="str">
        <f>IF($B54="لا","",'تحليل الفجوة'!$O54)</f>
        <v>لا يوجد مصدر قياس يسمح بإثبات التطبيق</v>
      </c>
      <c r="K54" s="18" t="str">
        <f>IF($B54="لا","",'تحليل الفجوة'!$H54)</f>
        <v>IMT-ISE-IM-PLN-000</v>
      </c>
      <c r="L54" s="13" t="s">
        <v>679</v>
      </c>
      <c r="M54" s="10" t="s">
        <v>104</v>
      </c>
      <c r="N54" s="10" t="s">
        <v>114</v>
      </c>
      <c r="O54" s="10" t="s">
        <v>106</v>
      </c>
      <c r="P54" s="16">
        <v>46247</v>
      </c>
      <c r="Q54" s="16">
        <v>46337</v>
      </c>
      <c r="R54" s="11" t="s">
        <v>90</v>
      </c>
      <c r="S54" s="11">
        <v>100</v>
      </c>
      <c r="T54" s="10" t="s">
        <v>91</v>
      </c>
      <c r="U54" s="16">
        <v>46331</v>
      </c>
      <c r="V54" s="15" t="str">
        <f t="shared" ca="1" si="1"/>
        <v>مغلق</v>
      </c>
    </row>
    <row r="55" spans="1:22" ht="38" hidden="1" customHeight="1" x14ac:dyDescent="0.3">
      <c r="A55" s="15" t="str">
        <f>IF('تحليل الفجوة'!$R55="نعم",COUNTIF('تحليل الفجوة'!$R$4:'تحليل الفجوة'!$R55,"نعم"),"—")</f>
        <v>—</v>
      </c>
      <c r="B55" s="15" t="str">
        <f>'تحليل الفجوة'!$R55</f>
        <v>لا</v>
      </c>
      <c r="C55" s="17" t="str">
        <f>IF($B55="لا","",'تحليل الفجوة'!$B55)</f>
        <v/>
      </c>
      <c r="D55" s="17" t="str">
        <f>IF($B55="لا","",'تحليل الفجوة'!$C55)</f>
        <v/>
      </c>
      <c r="E55" s="18" t="str">
        <f>IF($B55="لا","",'تحليل الفجوة'!$D55)</f>
        <v/>
      </c>
      <c r="F55" s="17" t="str">
        <f>IF($B55="لا","",'تحليل الفجوة'!$S55)</f>
        <v/>
      </c>
      <c r="G55" s="17" t="str">
        <f>IF($B55="لا","",'تحليل الفجوة'!$J55)</f>
        <v/>
      </c>
      <c r="H55" s="17" t="str">
        <f>IF($B55="لا","",'تحليل الفجوة'!$N55)</f>
        <v/>
      </c>
      <c r="I55" s="17" t="str">
        <f>IF($B55="لا","",'تحليل الفجوة'!$T55)</f>
        <v/>
      </c>
      <c r="J55" s="18" t="str">
        <f>IF($B55="لا","",'تحليل الفجوة'!$O55)</f>
        <v/>
      </c>
      <c r="K55" s="18" t="str">
        <f>IF($B55="لا","",'تحليل الفجوة'!$H55)</f>
        <v/>
      </c>
      <c r="L55" s="19"/>
      <c r="M55" s="19"/>
      <c r="N55" s="19"/>
      <c r="O55" s="19"/>
      <c r="P55" s="19"/>
      <c r="Q55" s="19"/>
      <c r="R55" s="19"/>
      <c r="S55" s="19"/>
      <c r="T55" s="19"/>
      <c r="U55" s="19"/>
      <c r="V55" s="15" t="str">
        <f t="shared" ca="1" si="1"/>
        <v>—</v>
      </c>
    </row>
    <row r="56" spans="1:22" ht="38" customHeight="1" x14ac:dyDescent="0.3">
      <c r="A56" s="15">
        <f>IF('تحليل الفجوة'!$R56="نعم",COUNTIF('تحليل الفجوة'!$R$4:'تحليل الفجوة'!$R56,"نعم"),"—")</f>
        <v>25</v>
      </c>
      <c r="B56" s="15" t="str">
        <f>'تحليل الفجوة'!$R56</f>
        <v>نعم</v>
      </c>
      <c r="C56" s="17" t="str">
        <f>IF($B56="لا","",'تحليل الفجوة'!$B56)</f>
        <v>ISO 10001:2018</v>
      </c>
      <c r="D56" s="17" t="str">
        <f>IF($B56="لا","",'تحليل الفجوة'!$C56)</f>
        <v>الملحق D</v>
      </c>
      <c r="E56" s="18" t="str">
        <f>IF($B56="لا","",'تحليل الفجوة'!$D56)</f>
        <v>إرشادات سهولة الوصول</v>
      </c>
      <c r="F56" s="17" t="str">
        <f>IF($B56="لا","",'تحليل الفجوة'!$S56)</f>
        <v>تحليل فجوة</v>
      </c>
      <c r="G56" s="17" t="str">
        <f>IF($B56="لا","",'تحليل الفجوة'!$J56)</f>
        <v>مطبق جزئياً</v>
      </c>
      <c r="H56" s="17" t="str">
        <f>IF($B56="لا","",'تحليل الفجوة'!$N56)</f>
        <v>ملاحظة</v>
      </c>
      <c r="I56" s="17" t="str">
        <f>IF($B56="لا","",'تحليل الفجوة'!$T56)</f>
        <v>منخفضة</v>
      </c>
      <c r="J56" s="18" t="str">
        <f>IF($B56="لا","",'تحليل الفجوة'!$O56)</f>
        <v>تطبيق جزئي — يحتاج تعميماً على باقي القنوات والإدارات</v>
      </c>
      <c r="K56" s="18" t="str">
        <f>IF($B56="لا","",'تحليل الفجوة'!$H56)</f>
        <v>IMT-ISE-SH-MTX-001</v>
      </c>
      <c r="L56" s="13" t="s">
        <v>678</v>
      </c>
      <c r="M56" s="10" t="s">
        <v>96</v>
      </c>
      <c r="N56" s="10" t="s">
        <v>114</v>
      </c>
      <c r="O56" s="10" t="s">
        <v>98</v>
      </c>
      <c r="P56" s="16">
        <v>46233</v>
      </c>
      <c r="Q56" s="16">
        <v>46268</v>
      </c>
      <c r="R56" s="11" t="s">
        <v>107</v>
      </c>
      <c r="S56" s="11">
        <v>0</v>
      </c>
      <c r="T56" s="10" t="s">
        <v>71</v>
      </c>
      <c r="U56" s="16"/>
      <c r="V56" s="15" t="str">
        <f t="shared" ca="1" si="1"/>
        <v>ضمن المدة</v>
      </c>
    </row>
    <row r="57" spans="1:22" ht="38" customHeight="1" x14ac:dyDescent="0.3">
      <c r="A57" s="15">
        <f>IF('تحليل الفجوة'!$R57="نعم",COUNTIF('تحليل الفجوة'!$R$4:'تحليل الفجوة'!$R57,"نعم"),"—")</f>
        <v>26</v>
      </c>
      <c r="B57" s="15" t="str">
        <f>'تحليل الفجوة'!$R57</f>
        <v>نعم</v>
      </c>
      <c r="C57" s="17" t="str">
        <f>IF($B57="لا","",'تحليل الفجوة'!$B57)</f>
        <v>ISO 10001:2018</v>
      </c>
      <c r="D57" s="17" t="str">
        <f>IF($B57="لا","",'تحليل الفجوة'!$C57)</f>
        <v>الملحق E</v>
      </c>
      <c r="E57" s="18" t="str">
        <f>IF($B57="لا","",'تحليل الفجوة'!$D57)</f>
        <v>إرشادات مدخلات الأطراف المعنية</v>
      </c>
      <c r="F57" s="17" t="str">
        <f>IF($B57="لا","",'تحليل الفجوة'!$S57)</f>
        <v>تحليل فجوة</v>
      </c>
      <c r="G57" s="17" t="str">
        <f>IF($B57="لا","",'تحليل الفجوة'!$J57)</f>
        <v>مطبق جزئياً</v>
      </c>
      <c r="H57" s="17" t="str">
        <f>IF($B57="لا","",'تحليل الفجوة'!$N57)</f>
        <v>ملاحظة</v>
      </c>
      <c r="I57" s="17" t="str">
        <f>IF($B57="لا","",'تحليل الفجوة'!$T57)</f>
        <v>متوسطة</v>
      </c>
      <c r="J57" s="18" t="str">
        <f>IF($B57="لا","",'تحليل الفجوة'!$O57)</f>
        <v>المخرج لا يُغذّي أي قرار حالياً — يُنتج ثم يُحفظ</v>
      </c>
      <c r="K57" s="18" t="str">
        <f>IF($B57="لا","",'تحليل الفجوة'!$H57)</f>
        <v>IMT-ISE-CM-FRM-002</v>
      </c>
      <c r="L57" s="13" t="s">
        <v>678</v>
      </c>
      <c r="M57" s="10" t="s">
        <v>96</v>
      </c>
      <c r="N57" s="10" t="s">
        <v>111</v>
      </c>
      <c r="O57" s="10" t="s">
        <v>112</v>
      </c>
      <c r="P57" s="16">
        <v>46251</v>
      </c>
      <c r="Q57" s="16">
        <v>46286</v>
      </c>
      <c r="R57" s="11" t="s">
        <v>80</v>
      </c>
      <c r="S57" s="11">
        <v>50</v>
      </c>
      <c r="T57" s="10" t="s">
        <v>81</v>
      </c>
      <c r="U57" s="16"/>
      <c r="V57" s="15" t="str">
        <f t="shared" ca="1" si="1"/>
        <v>ضمن المدة</v>
      </c>
    </row>
    <row r="58" spans="1:22" ht="38" hidden="1" customHeight="1" x14ac:dyDescent="0.3">
      <c r="A58" s="15" t="str">
        <f>IF('تحليل الفجوة'!$R58="نعم",COUNTIF('تحليل الفجوة'!$R$4:'تحليل الفجوة'!$R58,"نعم"),"—")</f>
        <v>—</v>
      </c>
      <c r="B58" s="15" t="str">
        <f>'تحليل الفجوة'!$R58</f>
        <v>لا</v>
      </c>
      <c r="C58" s="17" t="str">
        <f>IF($B58="لا","",'تحليل الفجوة'!$B58)</f>
        <v/>
      </c>
      <c r="D58" s="17" t="str">
        <f>IF($B58="لا","",'تحليل الفجوة'!$C58)</f>
        <v/>
      </c>
      <c r="E58" s="18" t="str">
        <f>IF($B58="لا","",'تحليل الفجوة'!$D58)</f>
        <v/>
      </c>
      <c r="F58" s="17" t="str">
        <f>IF($B58="لا","",'تحليل الفجوة'!$S58)</f>
        <v/>
      </c>
      <c r="G58" s="17" t="str">
        <f>IF($B58="لا","",'تحليل الفجوة'!$J58)</f>
        <v/>
      </c>
      <c r="H58" s="17" t="str">
        <f>IF($B58="لا","",'تحليل الفجوة'!$N58)</f>
        <v/>
      </c>
      <c r="I58" s="17" t="str">
        <f>IF($B58="لا","",'تحليل الفجوة'!$T58)</f>
        <v/>
      </c>
      <c r="J58" s="18" t="str">
        <f>IF($B58="لا","",'تحليل الفجوة'!$O58)</f>
        <v/>
      </c>
      <c r="K58" s="18" t="str">
        <f>IF($B58="لا","",'تحليل الفجوة'!$H58)</f>
        <v/>
      </c>
      <c r="L58" s="19"/>
      <c r="M58" s="19"/>
      <c r="N58" s="19"/>
      <c r="O58" s="19"/>
      <c r="P58" s="19"/>
      <c r="Q58" s="19"/>
      <c r="R58" s="19"/>
      <c r="S58" s="19"/>
      <c r="T58" s="19"/>
      <c r="U58" s="19"/>
      <c r="V58" s="15" t="str">
        <f t="shared" ca="1" si="1"/>
        <v>—</v>
      </c>
    </row>
    <row r="59" spans="1:22" ht="38" customHeight="1" x14ac:dyDescent="0.3">
      <c r="A59" s="15">
        <f>IF('تحليل الفجوة'!$R59="نعم",COUNTIF('تحليل الفجوة'!$R$4:'تحليل الفجوة'!$R59,"نعم"),"—")</f>
        <v>27</v>
      </c>
      <c r="B59" s="15" t="str">
        <f>'تحليل الفجوة'!$R59</f>
        <v>نعم</v>
      </c>
      <c r="C59" s="17" t="str">
        <f>IF($B59="لا","",'تحليل الفجوة'!$B59)</f>
        <v>ISO 10001:2018</v>
      </c>
      <c r="D59" s="17" t="str">
        <f>IF($B59="لا","",'تحليل الفجوة'!$C59)</f>
        <v>الملحق G</v>
      </c>
      <c r="E59" s="18" t="str">
        <f>IF($B59="لا","",'تحليل الفجوة'!$D59)</f>
        <v>إرشادات تبنّي ميثاق من منظمة أخرى</v>
      </c>
      <c r="F59" s="17" t="str">
        <f>IF($B59="لا","",'تحليل الفجوة'!$S59)</f>
        <v>تحليل فجوة</v>
      </c>
      <c r="G59" s="17" t="str">
        <f>IF($B59="لا","",'تحليل الفجوة'!$J59)</f>
        <v>مطبق جزئياً</v>
      </c>
      <c r="H59" s="17" t="str">
        <f>IF($B59="لا","",'تحليل الفجوة'!$N59)</f>
        <v>مطابق</v>
      </c>
      <c r="I59" s="17" t="str">
        <f>IF($B59="لا","",'تحليل الفجوة'!$T59)</f>
        <v>منخفضة</v>
      </c>
      <c r="J59" s="18" t="str">
        <f>IF($B59="لا","",'تحليل الفجوة'!$O59)</f>
        <v>المخرج لا يُغذّي أي قرار حالياً — يُنتج ثم يُحفظ</v>
      </c>
      <c r="K59" s="18" t="str">
        <f>IF($B59="لا","",'تحليل الفجوة'!$H59)</f>
        <v>IMT-ISE-IM-GDE-001</v>
      </c>
      <c r="L59" s="13" t="s">
        <v>678</v>
      </c>
      <c r="M59" s="10" t="s">
        <v>96</v>
      </c>
      <c r="N59" s="10" t="s">
        <v>111</v>
      </c>
      <c r="O59" s="10" t="s">
        <v>79</v>
      </c>
      <c r="P59" s="16">
        <v>46235</v>
      </c>
      <c r="Q59" s="16">
        <v>46270</v>
      </c>
      <c r="R59" s="11" t="s">
        <v>80</v>
      </c>
      <c r="S59" s="11">
        <v>75</v>
      </c>
      <c r="T59" s="10" t="s">
        <v>81</v>
      </c>
      <c r="U59" s="16"/>
      <c r="V59" s="15" t="str">
        <f t="shared" ca="1" si="1"/>
        <v>ضمن المدة</v>
      </c>
    </row>
    <row r="60" spans="1:22" ht="38" customHeight="1" x14ac:dyDescent="0.3">
      <c r="A60" s="15">
        <f>IF('تحليل الفجوة'!$R60="نعم",COUNTIF('تحليل الفجوة'!$R$4:'تحليل الفجوة'!$R60,"نعم"),"—")</f>
        <v>28</v>
      </c>
      <c r="B60" s="15" t="str">
        <f>'تحليل الفجوة'!$R60</f>
        <v>نعم</v>
      </c>
      <c r="C60" s="17" t="str">
        <f>IF($B60="لا","",'تحليل الفجوة'!$B60)</f>
        <v>ISO 10001:2018</v>
      </c>
      <c r="D60" s="17" t="str">
        <f>IF($B60="لا","",'تحليل الفجوة'!$C60)</f>
        <v>الملحق H</v>
      </c>
      <c r="E60" s="18" t="str">
        <f>IF($B60="لا","",'تحليل الفجوة'!$D60)</f>
        <v>إرشادات إعداد الميثاق</v>
      </c>
      <c r="F60" s="17" t="str">
        <f>IF($B60="لا","",'تحليل الفجوة'!$S60)</f>
        <v>تحليل فجوة + تدقيق</v>
      </c>
      <c r="G60" s="17" t="str">
        <f>IF($B60="لا","",'تحليل الفجوة'!$J60)</f>
        <v>غير مطبق</v>
      </c>
      <c r="H60" s="17" t="str">
        <f>IF($B60="لا","",'تحليل الفجوة'!$N60)</f>
        <v>عدم مطابقة كبرى</v>
      </c>
      <c r="I60" s="17" t="str">
        <f>IF($B60="لا","",'تحليل الفجوة'!$T60)</f>
        <v>حرجة</v>
      </c>
      <c r="J60" s="18" t="str">
        <f>IF($B60="لا","",'تحليل الفجوة'!$O60)</f>
        <v>لا توجد آلية لجمع البيانات المطلوبة لهذا البند</v>
      </c>
      <c r="K60" s="18" t="str">
        <f>IF($B60="لا","",'تحليل الفجوة'!$H60)</f>
        <v>IMT-ISE-CM-FRM-003</v>
      </c>
      <c r="L60" s="13" t="s">
        <v>680</v>
      </c>
      <c r="M60" s="10" t="s">
        <v>77</v>
      </c>
      <c r="N60" s="10" t="s">
        <v>88</v>
      </c>
      <c r="O60" s="10" t="s">
        <v>112</v>
      </c>
      <c r="P60" s="16">
        <v>46232</v>
      </c>
      <c r="Q60" s="16">
        <v>46307</v>
      </c>
      <c r="R60" s="11" t="s">
        <v>90</v>
      </c>
      <c r="S60" s="11">
        <v>100</v>
      </c>
      <c r="T60" s="10" t="s">
        <v>91</v>
      </c>
      <c r="U60" s="16">
        <v>46307</v>
      </c>
      <c r="V60" s="15" t="str">
        <f t="shared" ca="1" si="1"/>
        <v>مغلق</v>
      </c>
    </row>
    <row r="61" spans="1:22" ht="38" customHeight="1" x14ac:dyDescent="0.3">
      <c r="A61" s="15">
        <f>IF('تحليل الفجوة'!$R61="نعم",COUNTIF('تحليل الفجوة'!$R$4:'تحليل الفجوة'!$R61,"نعم"),"—")</f>
        <v>29</v>
      </c>
      <c r="B61" s="15" t="str">
        <f>'تحليل الفجوة'!$R61</f>
        <v>نعم</v>
      </c>
      <c r="C61" s="17" t="str">
        <f>IF($B61="لا","",'تحليل الفجوة'!$B61)</f>
        <v>ISO 10001:2018</v>
      </c>
      <c r="D61" s="17" t="str">
        <f>IF($B61="لا","",'تحليل الفجوة'!$C61)</f>
        <v>الملحق I</v>
      </c>
      <c r="E61" s="18" t="str">
        <f>IF($B61="لا","",'تحليل الفجوة'!$D61)</f>
        <v>إرشادات إعداد خطط التواصل</v>
      </c>
      <c r="F61" s="17" t="str">
        <f>IF($B61="لا","",'تحليل الفجوة'!$S61)</f>
        <v>تحليل فجوة + تدقيق</v>
      </c>
      <c r="G61" s="17" t="str">
        <f>IF($B61="لا","",'تحليل الفجوة'!$J61)</f>
        <v>مطبق جزئياً</v>
      </c>
      <c r="H61" s="17" t="str">
        <f>IF($B61="لا","",'تحليل الفجوة'!$N61)</f>
        <v>عدم مطابقة صغرى</v>
      </c>
      <c r="I61" s="17" t="str">
        <f>IF($B61="لا","",'تحليل الفجوة'!$T61)</f>
        <v>عالية</v>
      </c>
      <c r="J61" s="18" t="str">
        <f>IF($B61="لا","",'تحليل الفجوة'!$O61)</f>
        <v>الوثيقة موجودة والسجل غير مفعَّل — الفجوة في التشغيل لا في التوثيق</v>
      </c>
      <c r="K61" s="18" t="str">
        <f>IF($B61="لا","",'تحليل الفجوة'!$H61)</f>
        <v>IMT-ISE-CM-PLN-001</v>
      </c>
      <c r="L61" s="13" t="s">
        <v>682</v>
      </c>
      <c r="M61" s="10" t="s">
        <v>67</v>
      </c>
      <c r="N61" s="10" t="s">
        <v>114</v>
      </c>
      <c r="O61" s="10" t="s">
        <v>106</v>
      </c>
      <c r="P61" s="16">
        <v>46205</v>
      </c>
      <c r="Q61" s="16">
        <v>46250</v>
      </c>
      <c r="R61" s="11" t="s">
        <v>80</v>
      </c>
      <c r="S61" s="11">
        <v>25</v>
      </c>
      <c r="T61" s="10" t="s">
        <v>81</v>
      </c>
      <c r="U61" s="16"/>
      <c r="V61" s="15" t="str">
        <f t="shared" ca="1" si="1"/>
        <v>متأخر</v>
      </c>
    </row>
    <row r="62" spans="1:22" ht="38" hidden="1" customHeight="1" x14ac:dyDescent="0.3">
      <c r="A62" s="15" t="str">
        <f>IF('تحليل الفجوة'!$R62="نعم",COUNTIF('تحليل الفجوة'!$R$4:'تحليل الفجوة'!$R62,"نعم"),"—")</f>
        <v>—</v>
      </c>
      <c r="B62" s="15" t="str">
        <f>'تحليل الفجوة'!$R62</f>
        <v>لا</v>
      </c>
      <c r="C62" s="17" t="str">
        <f>IF($B62="لا","",'تحليل الفجوة'!$B62)</f>
        <v/>
      </c>
      <c r="D62" s="17" t="str">
        <f>IF($B62="لا","",'تحليل الفجوة'!$C62)</f>
        <v/>
      </c>
      <c r="E62" s="18" t="str">
        <f>IF($B62="لا","",'تحليل الفجوة'!$D62)</f>
        <v/>
      </c>
      <c r="F62" s="17" t="str">
        <f>IF($B62="لا","",'تحليل الفجوة'!$S62)</f>
        <v/>
      </c>
      <c r="G62" s="17" t="str">
        <f>IF($B62="لا","",'تحليل الفجوة'!$J62)</f>
        <v/>
      </c>
      <c r="H62" s="17" t="str">
        <f>IF($B62="لا","",'تحليل الفجوة'!$N62)</f>
        <v/>
      </c>
      <c r="I62" s="17" t="str">
        <f>IF($B62="لا","",'تحليل الفجوة'!$T62)</f>
        <v/>
      </c>
      <c r="J62" s="18" t="str">
        <f>IF($B62="لا","",'تحليل الفجوة'!$O62)</f>
        <v/>
      </c>
      <c r="K62" s="18" t="str">
        <f>IF($B62="لا","",'تحليل الفجوة'!$H62)</f>
        <v/>
      </c>
      <c r="L62" s="19"/>
      <c r="M62" s="19"/>
      <c r="N62" s="19"/>
      <c r="O62" s="19"/>
      <c r="P62" s="19"/>
      <c r="Q62" s="19"/>
      <c r="R62" s="19"/>
      <c r="S62" s="19"/>
      <c r="T62" s="19"/>
      <c r="U62" s="19"/>
      <c r="V62" s="15" t="str">
        <f t="shared" ca="1" si="1"/>
        <v>—</v>
      </c>
    </row>
    <row r="63" spans="1:22" ht="38" hidden="1" customHeight="1" x14ac:dyDescent="0.3">
      <c r="A63" s="15" t="str">
        <f>IF('تحليل الفجوة'!$R63="نعم",COUNTIF('تحليل الفجوة'!$R$4:'تحليل الفجوة'!$R63,"نعم"),"—")</f>
        <v>—</v>
      </c>
      <c r="B63" s="15" t="str">
        <f>'تحليل الفجوة'!$R63</f>
        <v>لا</v>
      </c>
      <c r="C63" s="17" t="str">
        <f>IF($B63="لا","",'تحليل الفجوة'!$B63)</f>
        <v/>
      </c>
      <c r="D63" s="17" t="str">
        <f>IF($B63="لا","",'تحليل الفجوة'!$C63)</f>
        <v/>
      </c>
      <c r="E63" s="18" t="str">
        <f>IF($B63="لا","",'تحليل الفجوة'!$D63)</f>
        <v/>
      </c>
      <c r="F63" s="17" t="str">
        <f>IF($B63="لا","",'تحليل الفجوة'!$S63)</f>
        <v/>
      </c>
      <c r="G63" s="17" t="str">
        <f>IF($B63="لا","",'تحليل الفجوة'!$J63)</f>
        <v/>
      </c>
      <c r="H63" s="17" t="str">
        <f>IF($B63="لا","",'تحليل الفجوة'!$N63)</f>
        <v/>
      </c>
      <c r="I63" s="17" t="str">
        <f>IF($B63="لا","",'تحليل الفجوة'!$T63)</f>
        <v/>
      </c>
      <c r="J63" s="18" t="str">
        <f>IF($B63="لا","",'تحليل الفجوة'!$O63)</f>
        <v/>
      </c>
      <c r="K63" s="18" t="str">
        <f>IF($B63="لا","",'تحليل الفجوة'!$H63)</f>
        <v/>
      </c>
      <c r="L63" s="19"/>
      <c r="M63" s="19"/>
      <c r="N63" s="19"/>
      <c r="O63" s="19"/>
      <c r="P63" s="19"/>
      <c r="Q63" s="19"/>
      <c r="R63" s="19"/>
      <c r="S63" s="19"/>
      <c r="T63" s="19"/>
      <c r="U63" s="19"/>
      <c r="V63" s="15" t="str">
        <f t="shared" ca="1" si="1"/>
        <v>—</v>
      </c>
    </row>
    <row r="64" spans="1:22" ht="38" hidden="1" customHeight="1" x14ac:dyDescent="0.3">
      <c r="A64" s="15" t="str">
        <f>IF('تحليل الفجوة'!$R64="نعم",COUNTIF('تحليل الفجوة'!$R$4:'تحليل الفجوة'!$R64,"نعم"),"—")</f>
        <v>—</v>
      </c>
      <c r="B64" s="15" t="str">
        <f>'تحليل الفجوة'!$R64</f>
        <v>لا</v>
      </c>
      <c r="C64" s="17" t="str">
        <f>IF($B64="لا","",'تحليل الفجوة'!$B64)</f>
        <v/>
      </c>
      <c r="D64" s="17" t="str">
        <f>IF($B64="لا","",'تحليل الفجوة'!$C64)</f>
        <v/>
      </c>
      <c r="E64" s="18" t="str">
        <f>IF($B64="لا","",'تحليل الفجوة'!$D64)</f>
        <v/>
      </c>
      <c r="F64" s="17" t="str">
        <f>IF($B64="لا","",'تحليل الفجوة'!$S64)</f>
        <v/>
      </c>
      <c r="G64" s="17" t="str">
        <f>IF($B64="لا","",'تحليل الفجوة'!$J64)</f>
        <v/>
      </c>
      <c r="H64" s="17" t="str">
        <f>IF($B64="لا","",'تحليل الفجوة'!$N64)</f>
        <v/>
      </c>
      <c r="I64" s="17" t="str">
        <f>IF($B64="لا","",'تحليل الفجوة'!$T64)</f>
        <v/>
      </c>
      <c r="J64" s="18" t="str">
        <f>IF($B64="لا","",'تحليل الفجوة'!$O64)</f>
        <v/>
      </c>
      <c r="K64" s="18" t="str">
        <f>IF($B64="لا","",'تحليل الفجوة'!$H64)</f>
        <v/>
      </c>
      <c r="L64" s="19"/>
      <c r="M64" s="19"/>
      <c r="N64" s="19"/>
      <c r="O64" s="19"/>
      <c r="P64" s="19"/>
      <c r="Q64" s="19"/>
      <c r="R64" s="19"/>
      <c r="S64" s="19"/>
      <c r="T64" s="19"/>
      <c r="U64" s="19"/>
      <c r="V64" s="15" t="str">
        <f t="shared" ca="1" si="1"/>
        <v>—</v>
      </c>
    </row>
    <row r="65" spans="1:22" ht="38" customHeight="1" x14ac:dyDescent="0.3">
      <c r="A65" s="15">
        <f>IF('تحليل الفجوة'!$R65="نعم",COUNTIF('تحليل الفجوة'!$R$4:'تحليل الفجوة'!$R65,"نعم"),"—")</f>
        <v>30</v>
      </c>
      <c r="B65" s="15" t="str">
        <f>'تحليل الفجوة'!$R65</f>
        <v>نعم</v>
      </c>
      <c r="C65" s="17" t="str">
        <f>IF($B65="لا","",'تحليل الفجوة'!$B65)</f>
        <v>ISO 10002:2018</v>
      </c>
      <c r="D65" s="17" t="str">
        <f>IF($B65="لا","",'تحليل الفجوة'!$C65)</f>
        <v>4.1</v>
      </c>
      <c r="E65" s="18" t="str">
        <f>IF($B65="لا","",'تحليل الفجوة'!$D65)</f>
        <v>عام</v>
      </c>
      <c r="F65" s="17" t="str">
        <f>IF($B65="لا","",'تحليل الفجوة'!$S65)</f>
        <v>تحليل فجوة</v>
      </c>
      <c r="G65" s="17" t="str">
        <f>IF($B65="لا","",'تحليل الفجوة'!$J65)</f>
        <v>غير مطبق</v>
      </c>
      <c r="H65" s="17" t="str">
        <f>IF($B65="لا","",'تحليل الفجوة'!$N65)</f>
        <v>ملاحظة</v>
      </c>
      <c r="I65" s="17" t="str">
        <f>IF($B65="لا","",'تحليل الفجوة'!$T65)</f>
        <v>حرجة</v>
      </c>
      <c r="J65" s="18" t="str">
        <f>IF($B65="لا","",'تحليل الفجوة'!$O65)</f>
        <v>لا يوجد مصدر قياس يسمح بإثبات التطبيق</v>
      </c>
      <c r="K65" s="18" t="str">
        <f>IF($B65="لا","",'تحليل الفجوة'!$H65)</f>
        <v>IMT-ISE-CR-CHT-001</v>
      </c>
      <c r="L65" s="13" t="s">
        <v>679</v>
      </c>
      <c r="M65" s="10" t="s">
        <v>104</v>
      </c>
      <c r="N65" s="10" t="s">
        <v>97</v>
      </c>
      <c r="O65" s="10" t="s">
        <v>89</v>
      </c>
      <c r="P65" s="16">
        <v>46257</v>
      </c>
      <c r="Q65" s="16">
        <v>46347</v>
      </c>
      <c r="R65" s="11" t="s">
        <v>107</v>
      </c>
      <c r="S65" s="11">
        <v>0</v>
      </c>
      <c r="T65" s="10" t="s">
        <v>71</v>
      </c>
      <c r="U65" s="16"/>
      <c r="V65" s="15" t="str">
        <f t="shared" ca="1" si="1"/>
        <v>ضمن المدة</v>
      </c>
    </row>
    <row r="66" spans="1:22" ht="38" customHeight="1" x14ac:dyDescent="0.3">
      <c r="A66" s="15">
        <f>IF('تحليل الفجوة'!$R66="نعم",COUNTIF('تحليل الفجوة'!$R$4:'تحليل الفجوة'!$R66,"نعم"),"—")</f>
        <v>31</v>
      </c>
      <c r="B66" s="15" t="str">
        <f>'تحليل الفجوة'!$R66</f>
        <v>نعم</v>
      </c>
      <c r="C66" s="17" t="str">
        <f>IF($B66="لا","",'تحليل الفجوة'!$B66)</f>
        <v>ISO 10002:2018</v>
      </c>
      <c r="D66" s="17" t="str">
        <f>IF($B66="لا","",'تحليل الفجوة'!$C66)</f>
        <v>4.2</v>
      </c>
      <c r="E66" s="18" t="str">
        <f>IF($B66="لا","",'تحليل الفجوة'!$D66)</f>
        <v>الالتزام</v>
      </c>
      <c r="F66" s="17" t="str">
        <f>IF($B66="لا","",'تحليل الفجوة'!$S66)</f>
        <v>تحليل فجوة</v>
      </c>
      <c r="G66" s="17" t="str">
        <f>IF($B66="لا","",'تحليل الفجوة'!$J66)</f>
        <v>غير مطبق</v>
      </c>
      <c r="H66" s="17" t="str">
        <f>IF($B66="لا","",'تحليل الفجوة'!$N66)</f>
        <v>ملاحظة</v>
      </c>
      <c r="I66" s="17" t="str">
        <f>IF($B66="لا","",'تحليل الفجوة'!$T66)</f>
        <v>منخفضة</v>
      </c>
      <c r="J66" s="18" t="str">
        <f>IF($B66="لا","",'تحليل الفجوة'!$O66)</f>
        <v>لا يوجد مصدر قياس يسمح بإثبات التطبيق</v>
      </c>
      <c r="K66" s="18" t="str">
        <f>IF($B66="لا","",'تحليل الفجوة'!$H66)</f>
        <v>IMT-ISE-CR-CHT-001</v>
      </c>
      <c r="L66" s="13" t="s">
        <v>680</v>
      </c>
      <c r="M66" s="10" t="s">
        <v>77</v>
      </c>
      <c r="N66" s="10" t="s">
        <v>88</v>
      </c>
      <c r="O66" s="10" t="s">
        <v>79</v>
      </c>
      <c r="P66" s="16">
        <v>46230</v>
      </c>
      <c r="Q66" s="16">
        <v>46305</v>
      </c>
      <c r="R66" s="11" t="s">
        <v>90</v>
      </c>
      <c r="S66" s="11">
        <v>100</v>
      </c>
      <c r="T66" s="10" t="s">
        <v>91</v>
      </c>
      <c r="U66" s="16">
        <v>46299</v>
      </c>
      <c r="V66" s="15" t="str">
        <f t="shared" ca="1" si="1"/>
        <v>مغلق</v>
      </c>
    </row>
    <row r="67" spans="1:22" ht="38" customHeight="1" x14ac:dyDescent="0.3">
      <c r="A67" s="15">
        <f>IF('تحليل الفجوة'!$R67="نعم",COUNTIF('تحليل الفجوة'!$R$4:'تحليل الفجوة'!$R67,"نعم"),"—")</f>
        <v>32</v>
      </c>
      <c r="B67" s="15" t="str">
        <f>'تحليل الفجوة'!$R67</f>
        <v>نعم</v>
      </c>
      <c r="C67" s="17" t="str">
        <f>IF($B67="لا","",'تحليل الفجوة'!$B67)</f>
        <v>ISO 10002:2018</v>
      </c>
      <c r="D67" s="17" t="str">
        <f>IF($B67="لا","",'تحليل الفجوة'!$C67)</f>
        <v>4.3</v>
      </c>
      <c r="E67" s="18" t="str">
        <f>IF($B67="لا","",'تحليل الفجوة'!$D67)</f>
        <v>السعة</v>
      </c>
      <c r="F67" s="17" t="str">
        <f>IF($B67="لا","",'تحليل الفجوة'!$S67)</f>
        <v>تحليل فجوة</v>
      </c>
      <c r="G67" s="17" t="str">
        <f>IF($B67="لا","",'تحليل الفجوة'!$J67)</f>
        <v>مطبق جزئياً</v>
      </c>
      <c r="H67" s="17" t="str">
        <f>IF($B67="لا","",'تحليل الفجوة'!$N67)</f>
        <v>ملاحظة</v>
      </c>
      <c r="I67" s="17" t="str">
        <f>IF($B67="لا","",'تحليل الفجوة'!$T67)</f>
        <v>متوسطة</v>
      </c>
      <c r="J67" s="18" t="str">
        <f>IF($B67="لا","",'تحليل الفجوة'!$O67)</f>
        <v>الدورية غير منضبطة ولا يوجد تذكير أو مالك للمتابعة</v>
      </c>
      <c r="K67" s="18" t="str">
        <f>IF($B67="لا","",'تحليل الفجوة'!$H67)</f>
        <v>IMT-ISE-CR-CHT-001</v>
      </c>
      <c r="L67" s="13" t="s">
        <v>677</v>
      </c>
      <c r="M67" s="10" t="s">
        <v>87</v>
      </c>
      <c r="N67" s="10" t="s">
        <v>88</v>
      </c>
      <c r="O67" s="10" t="s">
        <v>106</v>
      </c>
      <c r="P67" s="16">
        <v>46204</v>
      </c>
      <c r="Q67" s="16">
        <v>46244</v>
      </c>
      <c r="R67" s="11" t="s">
        <v>80</v>
      </c>
      <c r="S67" s="11">
        <v>50</v>
      </c>
      <c r="T67" s="10" t="s">
        <v>81</v>
      </c>
      <c r="U67" s="16"/>
      <c r="V67" s="15" t="str">
        <f t="shared" ca="1" si="1"/>
        <v>متأخر</v>
      </c>
    </row>
    <row r="68" spans="1:22" ht="38" hidden="1" customHeight="1" x14ac:dyDescent="0.3">
      <c r="A68" s="15" t="str">
        <f>IF('تحليل الفجوة'!$R68="نعم",COUNTIF('تحليل الفجوة'!$R$4:'تحليل الفجوة'!$R68,"نعم"),"—")</f>
        <v>—</v>
      </c>
      <c r="B68" s="15" t="str">
        <f>'تحليل الفجوة'!$R68</f>
        <v>لا</v>
      </c>
      <c r="C68" s="17" t="str">
        <f>IF($B68="لا","",'تحليل الفجوة'!$B68)</f>
        <v/>
      </c>
      <c r="D68" s="17" t="str">
        <f>IF($B68="لا","",'تحليل الفجوة'!$C68)</f>
        <v/>
      </c>
      <c r="E68" s="18" t="str">
        <f>IF($B68="لا","",'تحليل الفجوة'!$D68)</f>
        <v/>
      </c>
      <c r="F68" s="17" t="str">
        <f>IF($B68="لا","",'تحليل الفجوة'!$S68)</f>
        <v/>
      </c>
      <c r="G68" s="17" t="str">
        <f>IF($B68="لا","",'تحليل الفجوة'!$J68)</f>
        <v/>
      </c>
      <c r="H68" s="17" t="str">
        <f>IF($B68="لا","",'تحليل الفجوة'!$N68)</f>
        <v/>
      </c>
      <c r="I68" s="17" t="str">
        <f>IF($B68="لا","",'تحليل الفجوة'!$T68)</f>
        <v/>
      </c>
      <c r="J68" s="18" t="str">
        <f>IF($B68="لا","",'تحليل الفجوة'!$O68)</f>
        <v/>
      </c>
      <c r="K68" s="18" t="str">
        <f>IF($B68="لا","",'تحليل الفجوة'!$H68)</f>
        <v/>
      </c>
      <c r="L68" s="19"/>
      <c r="M68" s="19"/>
      <c r="N68" s="19"/>
      <c r="O68" s="19"/>
      <c r="P68" s="19"/>
      <c r="Q68" s="19"/>
      <c r="R68" s="19"/>
      <c r="S68" s="19"/>
      <c r="T68" s="19"/>
      <c r="U68" s="19"/>
      <c r="V68" s="15" t="str">
        <f t="shared" ref="V68:V99" ca="1" si="2">IF($B68="لا","—",IF($R68="مكتمل","مغلق",IF($Q68="","—",IF($Q68&lt;TODAY(),"متأخر","ضمن المدة"))))</f>
        <v>—</v>
      </c>
    </row>
    <row r="69" spans="1:22" ht="38" customHeight="1" x14ac:dyDescent="0.3">
      <c r="A69" s="15">
        <f>IF('تحليل الفجوة'!$R69="نعم",COUNTIF('تحليل الفجوة'!$R$4:'تحليل الفجوة'!$R69,"نعم"),"—")</f>
        <v>33</v>
      </c>
      <c r="B69" s="15" t="str">
        <f>'تحليل الفجوة'!$R69</f>
        <v>نعم</v>
      </c>
      <c r="C69" s="17" t="str">
        <f>IF($B69="لا","",'تحليل الفجوة'!$B69)</f>
        <v>ISO 10002:2018</v>
      </c>
      <c r="D69" s="17" t="str">
        <f>IF($B69="لا","",'تحليل الفجوة'!$C69)</f>
        <v>4.5</v>
      </c>
      <c r="E69" s="18" t="str">
        <f>IF($B69="لا","",'تحليل الفجوة'!$D69)</f>
        <v>سهولة الوصول</v>
      </c>
      <c r="F69" s="17" t="str">
        <f>IF($B69="لا","",'تحليل الفجوة'!$S69)</f>
        <v>تحليل فجوة + تدقيق</v>
      </c>
      <c r="G69" s="17" t="str">
        <f>IF($B69="لا","",'تحليل الفجوة'!$J69)</f>
        <v>غير مطبق</v>
      </c>
      <c r="H69" s="17" t="str">
        <f>IF($B69="لا","",'تحليل الفجوة'!$N69)</f>
        <v>عدم مطابقة كبرى</v>
      </c>
      <c r="I69" s="17" t="str">
        <f>IF($B69="لا","",'تحليل الفجوة'!$T69)</f>
        <v>حرجة</v>
      </c>
      <c r="J69" s="18" t="str">
        <f>IF($B69="لا","",'تحليل الفجوة'!$O69)</f>
        <v>غياب كامل للبند — لا وثيقة ولا سجل ولا مالك</v>
      </c>
      <c r="K69" s="18" t="str">
        <f>IF($B69="لا","",'تحليل الفجوة'!$H69)</f>
        <v>IMT-ISE-CR-CHT-001</v>
      </c>
      <c r="L69" s="13" t="s">
        <v>680</v>
      </c>
      <c r="M69" s="10" t="s">
        <v>77</v>
      </c>
      <c r="N69" s="10" t="s">
        <v>115</v>
      </c>
      <c r="O69" s="10" t="s">
        <v>89</v>
      </c>
      <c r="P69" s="16">
        <v>46233</v>
      </c>
      <c r="Q69" s="16">
        <v>46308</v>
      </c>
      <c r="R69" s="11" t="s">
        <v>70</v>
      </c>
      <c r="S69" s="11">
        <v>0</v>
      </c>
      <c r="T69" s="10" t="s">
        <v>71</v>
      </c>
      <c r="U69" s="16"/>
      <c r="V69" s="15" t="str">
        <f t="shared" ca="1" si="2"/>
        <v>ضمن المدة</v>
      </c>
    </row>
    <row r="70" spans="1:22" ht="38" hidden="1" customHeight="1" x14ac:dyDescent="0.3">
      <c r="A70" s="15" t="str">
        <f>IF('تحليل الفجوة'!$R70="نعم",COUNTIF('تحليل الفجوة'!$R$4:'تحليل الفجوة'!$R70,"نعم"),"—")</f>
        <v>—</v>
      </c>
      <c r="B70" s="15" t="str">
        <f>'تحليل الفجوة'!$R70</f>
        <v>لا</v>
      </c>
      <c r="C70" s="17" t="str">
        <f>IF($B70="لا","",'تحليل الفجوة'!$B70)</f>
        <v/>
      </c>
      <c r="D70" s="17" t="str">
        <f>IF($B70="لا","",'تحليل الفجوة'!$C70)</f>
        <v/>
      </c>
      <c r="E70" s="18" t="str">
        <f>IF($B70="لا","",'تحليل الفجوة'!$D70)</f>
        <v/>
      </c>
      <c r="F70" s="17" t="str">
        <f>IF($B70="لا","",'تحليل الفجوة'!$S70)</f>
        <v/>
      </c>
      <c r="G70" s="17" t="str">
        <f>IF($B70="لا","",'تحليل الفجوة'!$J70)</f>
        <v/>
      </c>
      <c r="H70" s="17" t="str">
        <f>IF($B70="لا","",'تحليل الفجوة'!$N70)</f>
        <v/>
      </c>
      <c r="I70" s="17" t="str">
        <f>IF($B70="لا","",'تحليل الفجوة'!$T70)</f>
        <v/>
      </c>
      <c r="J70" s="18" t="str">
        <f>IF($B70="لا","",'تحليل الفجوة'!$O70)</f>
        <v/>
      </c>
      <c r="K70" s="18" t="str">
        <f>IF($B70="لا","",'تحليل الفجوة'!$H70)</f>
        <v/>
      </c>
      <c r="L70" s="19"/>
      <c r="M70" s="19"/>
      <c r="N70" s="19"/>
      <c r="O70" s="19"/>
      <c r="P70" s="19"/>
      <c r="Q70" s="19"/>
      <c r="R70" s="19"/>
      <c r="S70" s="19"/>
      <c r="T70" s="19"/>
      <c r="U70" s="19"/>
      <c r="V70" s="15" t="str">
        <f t="shared" ca="1" si="2"/>
        <v>—</v>
      </c>
    </row>
    <row r="71" spans="1:22" ht="38" hidden="1" customHeight="1" x14ac:dyDescent="0.3">
      <c r="A71" s="15" t="str">
        <f>IF('تحليل الفجوة'!$R71="نعم",COUNTIF('تحليل الفجوة'!$R$4:'تحليل الفجوة'!$R71,"نعم"),"—")</f>
        <v>—</v>
      </c>
      <c r="B71" s="15" t="str">
        <f>'تحليل الفجوة'!$R71</f>
        <v>لا</v>
      </c>
      <c r="C71" s="17" t="str">
        <f>IF($B71="لا","",'تحليل الفجوة'!$B71)</f>
        <v/>
      </c>
      <c r="D71" s="17" t="str">
        <f>IF($B71="لا","",'تحليل الفجوة'!$C71)</f>
        <v/>
      </c>
      <c r="E71" s="18" t="str">
        <f>IF($B71="لا","",'تحليل الفجوة'!$D71)</f>
        <v/>
      </c>
      <c r="F71" s="17" t="str">
        <f>IF($B71="لا","",'تحليل الفجوة'!$S71)</f>
        <v/>
      </c>
      <c r="G71" s="17" t="str">
        <f>IF($B71="لا","",'تحليل الفجوة'!$J71)</f>
        <v/>
      </c>
      <c r="H71" s="17" t="str">
        <f>IF($B71="لا","",'تحليل الفجوة'!$N71)</f>
        <v/>
      </c>
      <c r="I71" s="17" t="str">
        <f>IF($B71="لا","",'تحليل الفجوة'!$T71)</f>
        <v/>
      </c>
      <c r="J71" s="18" t="str">
        <f>IF($B71="لا","",'تحليل الفجوة'!$O71)</f>
        <v/>
      </c>
      <c r="K71" s="18" t="str">
        <f>IF($B71="لا","",'تحليل الفجوة'!$H71)</f>
        <v/>
      </c>
      <c r="L71" s="19"/>
      <c r="M71" s="19"/>
      <c r="N71" s="19"/>
      <c r="O71" s="19"/>
      <c r="P71" s="19"/>
      <c r="Q71" s="19"/>
      <c r="R71" s="19"/>
      <c r="S71" s="19"/>
      <c r="T71" s="19"/>
      <c r="U71" s="19"/>
      <c r="V71" s="15" t="str">
        <f t="shared" ca="1" si="2"/>
        <v>—</v>
      </c>
    </row>
    <row r="72" spans="1:22" ht="38" customHeight="1" x14ac:dyDescent="0.3">
      <c r="A72" s="15">
        <f>IF('تحليل الفجوة'!$R72="نعم",COUNTIF('تحليل الفجوة'!$R$4:'تحليل الفجوة'!$R72,"نعم"),"—")</f>
        <v>34</v>
      </c>
      <c r="B72" s="15" t="str">
        <f>'تحليل الفجوة'!$R72</f>
        <v>نعم</v>
      </c>
      <c r="C72" s="17" t="str">
        <f>IF($B72="لا","",'تحليل الفجوة'!$B72)</f>
        <v>ISO 10002:2018</v>
      </c>
      <c r="D72" s="17" t="str">
        <f>IF($B72="لا","",'تحليل الفجوة'!$C72)</f>
        <v>4.8</v>
      </c>
      <c r="E72" s="18" t="str">
        <f>IF($B72="لا","",'تحليل الفجوة'!$D72)</f>
        <v>مجانية عملية الشكاوى</v>
      </c>
      <c r="F72" s="17" t="str">
        <f>IF($B72="لا","",'تحليل الفجوة'!$S72)</f>
        <v>تحليل فجوة</v>
      </c>
      <c r="G72" s="17" t="str">
        <f>IF($B72="لا","",'تحليل الفجوة'!$J72)</f>
        <v>مطبق جزئياً</v>
      </c>
      <c r="H72" s="17" t="str">
        <f>IF($B72="لا","",'تحليل الفجوة'!$N72)</f>
        <v>مطابق</v>
      </c>
      <c r="I72" s="17" t="str">
        <f>IF($B72="لا","",'تحليل الفجوة'!$T72)</f>
        <v>متوسطة</v>
      </c>
      <c r="J72" s="18" t="str">
        <f>IF($B72="لا","",'تحليل الفجوة'!$O72)</f>
        <v>الدورية غير منضبطة ولا يوجد تذكير أو مالك للمتابعة</v>
      </c>
      <c r="K72" s="18" t="str">
        <f>IF($B72="لا","",'تحليل الفجوة'!$H72)</f>
        <v>IMT-ISE-CR-CHT-001</v>
      </c>
      <c r="L72" s="13" t="s">
        <v>681</v>
      </c>
      <c r="M72" s="10" t="s">
        <v>110</v>
      </c>
      <c r="N72" s="10" t="s">
        <v>115</v>
      </c>
      <c r="O72" s="10" t="s">
        <v>79</v>
      </c>
      <c r="P72" s="16">
        <v>46235</v>
      </c>
      <c r="Q72" s="16">
        <v>46355</v>
      </c>
      <c r="R72" s="11" t="s">
        <v>90</v>
      </c>
      <c r="S72" s="11">
        <v>100</v>
      </c>
      <c r="T72" s="10" t="s">
        <v>100</v>
      </c>
      <c r="U72" s="16">
        <v>46344</v>
      </c>
      <c r="V72" s="15" t="str">
        <f t="shared" ca="1" si="2"/>
        <v>مغلق</v>
      </c>
    </row>
    <row r="73" spans="1:22" ht="38" customHeight="1" x14ac:dyDescent="0.3">
      <c r="A73" s="15">
        <f>IF('تحليل الفجوة'!$R73="نعم",COUNTIF('تحليل الفجوة'!$R$4:'تحليل الفجوة'!$R73,"نعم"),"—")</f>
        <v>35</v>
      </c>
      <c r="B73" s="15" t="str">
        <f>'تحليل الفجوة'!$R73</f>
        <v>نعم</v>
      </c>
      <c r="C73" s="17" t="str">
        <f>IF($B73="لا","",'تحليل الفجوة'!$B73)</f>
        <v>ISO 10002:2018</v>
      </c>
      <c r="D73" s="17" t="str">
        <f>IF($B73="لا","",'تحليل الفجوة'!$C73)</f>
        <v>4.9</v>
      </c>
      <c r="E73" s="18" t="str">
        <f>IF($B73="لا","",'تحليل الفجوة'!$D73)</f>
        <v>نزاهة المعلومات</v>
      </c>
      <c r="F73" s="17" t="str">
        <f>IF($B73="لا","",'تحليل الفجوة'!$S73)</f>
        <v>تحليل فجوة + تدقيق</v>
      </c>
      <c r="G73" s="17" t="str">
        <f>IF($B73="لا","",'تحليل الفجوة'!$J73)</f>
        <v>غير مطبق</v>
      </c>
      <c r="H73" s="17" t="str">
        <f>IF($B73="لا","",'تحليل الفجوة'!$N73)</f>
        <v>عدم مطابقة كبرى</v>
      </c>
      <c r="I73" s="17" t="str">
        <f>IF($B73="لا","",'تحليل الفجوة'!$T73)</f>
        <v>حرجة</v>
      </c>
      <c r="J73" s="18" t="str">
        <f>IF($B73="لا","",'تحليل الفجوة'!$O73)</f>
        <v>البند غير مدرج في أي إجراء معتمد لدى الجهة</v>
      </c>
      <c r="K73" s="18" t="str">
        <f>IF($B73="لا","",'تحليل الفجوة'!$H73)</f>
        <v>IMT-ISE-CR-CHT-001</v>
      </c>
      <c r="L73" s="13" t="s">
        <v>680</v>
      </c>
      <c r="M73" s="10" t="s">
        <v>77</v>
      </c>
      <c r="N73" s="10" t="s">
        <v>97</v>
      </c>
      <c r="O73" s="10" t="s">
        <v>69</v>
      </c>
      <c r="P73" s="16">
        <v>46239</v>
      </c>
      <c r="Q73" s="16">
        <v>46314</v>
      </c>
      <c r="R73" s="11" t="s">
        <v>80</v>
      </c>
      <c r="S73" s="11">
        <v>25</v>
      </c>
      <c r="T73" s="10" t="s">
        <v>81</v>
      </c>
      <c r="U73" s="16"/>
      <c r="V73" s="15" t="str">
        <f t="shared" ca="1" si="2"/>
        <v>ضمن المدة</v>
      </c>
    </row>
    <row r="74" spans="1:22" ht="38" customHeight="1" x14ac:dyDescent="0.3">
      <c r="A74" s="15">
        <f>IF('تحليل الفجوة'!$R74="نعم",COUNTIF('تحليل الفجوة'!$R$4:'تحليل الفجوة'!$R74,"نعم"),"—")</f>
        <v>36</v>
      </c>
      <c r="B74" s="15" t="str">
        <f>'تحليل الفجوة'!$R74</f>
        <v>نعم</v>
      </c>
      <c r="C74" s="17" t="str">
        <f>IF($B74="لا","",'تحليل الفجوة'!$B74)</f>
        <v>ISO 10002:2018</v>
      </c>
      <c r="D74" s="17" t="str">
        <f>IF($B74="لا","",'تحليل الفجوة'!$C74)</f>
        <v>4.10</v>
      </c>
      <c r="E74" s="18" t="str">
        <f>IF($B74="لا","",'تحليل الفجوة'!$D74)</f>
        <v>السرية</v>
      </c>
      <c r="F74" s="17" t="str">
        <f>IF($B74="لا","",'تحليل الفجوة'!$S74)</f>
        <v>تحليل فجوة</v>
      </c>
      <c r="G74" s="17" t="str">
        <f>IF($B74="لا","",'تحليل الفجوة'!$J74)</f>
        <v>مطبق جزئياً</v>
      </c>
      <c r="H74" s="17" t="str">
        <f>IF($B74="لا","",'تحليل الفجوة'!$N74)</f>
        <v>فرصة تحسين</v>
      </c>
      <c r="I74" s="17" t="str">
        <f>IF($B74="لا","",'تحليل الفجوة'!$T74)</f>
        <v>عالية</v>
      </c>
      <c r="J74" s="18" t="str">
        <f>IF($B74="لا","",'تحليل الفجوة'!$O74)</f>
        <v>التطبيق قائم على أشخاص لا على إجراء — ينهار بتغيّر الموظف</v>
      </c>
      <c r="K74" s="18" t="str">
        <f>IF($B74="لا","",'تحليل الفجوة'!$H74)</f>
        <v>IMT-ISE-CR-CHT-001</v>
      </c>
      <c r="L74" s="13" t="s">
        <v>678</v>
      </c>
      <c r="M74" s="10" t="s">
        <v>96</v>
      </c>
      <c r="N74" s="10" t="s">
        <v>115</v>
      </c>
      <c r="O74" s="10" t="s">
        <v>69</v>
      </c>
      <c r="P74" s="16">
        <v>46219</v>
      </c>
      <c r="Q74" s="16">
        <v>46254</v>
      </c>
      <c r="R74" s="11" t="s">
        <v>70</v>
      </c>
      <c r="S74" s="11">
        <v>0</v>
      </c>
      <c r="T74" s="10" t="s">
        <v>71</v>
      </c>
      <c r="U74" s="16"/>
      <c r="V74" s="15" t="str">
        <f t="shared" ca="1" si="2"/>
        <v>ضمن المدة</v>
      </c>
    </row>
    <row r="75" spans="1:22" ht="38" hidden="1" customHeight="1" x14ac:dyDescent="0.3">
      <c r="A75" s="15" t="str">
        <f>IF('تحليل الفجوة'!$R75="نعم",COUNTIF('تحليل الفجوة'!$R$4:'تحليل الفجوة'!$R75,"نعم"),"—")</f>
        <v>—</v>
      </c>
      <c r="B75" s="15" t="str">
        <f>'تحليل الفجوة'!$R75</f>
        <v>لا</v>
      </c>
      <c r="C75" s="17" t="str">
        <f>IF($B75="لا","",'تحليل الفجوة'!$B75)</f>
        <v/>
      </c>
      <c r="D75" s="17" t="str">
        <f>IF($B75="لا","",'تحليل الفجوة'!$C75)</f>
        <v/>
      </c>
      <c r="E75" s="18" t="str">
        <f>IF($B75="لا","",'تحليل الفجوة'!$D75)</f>
        <v/>
      </c>
      <c r="F75" s="17" t="str">
        <f>IF($B75="لا","",'تحليل الفجوة'!$S75)</f>
        <v/>
      </c>
      <c r="G75" s="17" t="str">
        <f>IF($B75="لا","",'تحليل الفجوة'!$J75)</f>
        <v/>
      </c>
      <c r="H75" s="17" t="str">
        <f>IF($B75="لا","",'تحليل الفجوة'!$N75)</f>
        <v/>
      </c>
      <c r="I75" s="17" t="str">
        <f>IF($B75="لا","",'تحليل الفجوة'!$T75)</f>
        <v/>
      </c>
      <c r="J75" s="18" t="str">
        <f>IF($B75="لا","",'تحليل الفجوة'!$O75)</f>
        <v/>
      </c>
      <c r="K75" s="18" t="str">
        <f>IF($B75="لا","",'تحليل الفجوة'!$H75)</f>
        <v/>
      </c>
      <c r="L75" s="19"/>
      <c r="M75" s="19"/>
      <c r="N75" s="19"/>
      <c r="O75" s="19"/>
      <c r="P75" s="19"/>
      <c r="Q75" s="19"/>
      <c r="R75" s="19"/>
      <c r="S75" s="19"/>
      <c r="T75" s="19"/>
      <c r="U75" s="19"/>
      <c r="V75" s="15" t="str">
        <f t="shared" ca="1" si="2"/>
        <v>—</v>
      </c>
    </row>
    <row r="76" spans="1:22" ht="38" customHeight="1" x14ac:dyDescent="0.3">
      <c r="A76" s="15">
        <f>IF('تحليل الفجوة'!$R76="نعم",COUNTIF('تحليل الفجوة'!$R$4:'تحليل الفجوة'!$R76,"نعم"),"—")</f>
        <v>37</v>
      </c>
      <c r="B76" s="15" t="str">
        <f>'تحليل الفجوة'!$R76</f>
        <v>نعم</v>
      </c>
      <c r="C76" s="17" t="str">
        <f>IF($B76="لا","",'تحليل الفجوة'!$B76)</f>
        <v>ISO 10002:2018</v>
      </c>
      <c r="D76" s="17" t="str">
        <f>IF($B76="لا","",'تحليل الفجوة'!$C76)</f>
        <v>4.12</v>
      </c>
      <c r="E76" s="18" t="str">
        <f>IF($B76="لا","",'تحليل الفجوة'!$D76)</f>
        <v>المساءلة</v>
      </c>
      <c r="F76" s="17" t="str">
        <f>IF($B76="لا","",'تحليل الفجوة'!$S76)</f>
        <v>تحليل فجوة</v>
      </c>
      <c r="G76" s="17" t="str">
        <f>IF($B76="لا","",'تحليل الفجوة'!$J76)</f>
        <v>مطبق جزئياً</v>
      </c>
      <c r="H76" s="17" t="str">
        <f>IF($B76="لا","",'تحليل الفجوة'!$N76)</f>
        <v>فرصة تحسين</v>
      </c>
      <c r="I76" s="17" t="str">
        <f>IF($B76="لا","",'تحليل الفجوة'!$T76)</f>
        <v>متوسطة</v>
      </c>
      <c r="J76" s="18" t="str">
        <f>IF($B76="لا","",'تحليل الفجوة'!$O76)</f>
        <v>الدورية غير منضبطة ولا يوجد تذكير أو مالك للمتابعة</v>
      </c>
      <c r="K76" s="18" t="str">
        <f>IF($B76="لا","",'تحليل الفجوة'!$H76)</f>
        <v>IMT-ISE-CR-CHT-001</v>
      </c>
      <c r="L76" s="13" t="s">
        <v>677</v>
      </c>
      <c r="M76" s="10" t="s">
        <v>87</v>
      </c>
      <c r="N76" s="10" t="s">
        <v>88</v>
      </c>
      <c r="O76" s="10" t="s">
        <v>112</v>
      </c>
      <c r="P76" s="16">
        <v>46255</v>
      </c>
      <c r="Q76" s="16">
        <v>46295</v>
      </c>
      <c r="R76" s="11" t="s">
        <v>80</v>
      </c>
      <c r="S76" s="11">
        <v>50</v>
      </c>
      <c r="T76" s="10" t="s">
        <v>81</v>
      </c>
      <c r="U76" s="16"/>
      <c r="V76" s="15" t="str">
        <f t="shared" ca="1" si="2"/>
        <v>ضمن المدة</v>
      </c>
    </row>
    <row r="77" spans="1:22" ht="38" customHeight="1" x14ac:dyDescent="0.3">
      <c r="A77" s="15">
        <f>IF('تحليل الفجوة'!$R77="نعم",COUNTIF('تحليل الفجوة'!$R$4:'تحليل الفجوة'!$R77,"نعم"),"—")</f>
        <v>38</v>
      </c>
      <c r="B77" s="15" t="str">
        <f>'تحليل الفجوة'!$R77</f>
        <v>نعم</v>
      </c>
      <c r="C77" s="17" t="str">
        <f>IF($B77="لا","",'تحليل الفجوة'!$B77)</f>
        <v>ISO 10002:2018</v>
      </c>
      <c r="D77" s="17" t="str">
        <f>IF($B77="لا","",'تحليل الفجوة'!$C77)</f>
        <v>4.13</v>
      </c>
      <c r="E77" s="18" t="str">
        <f>IF($B77="لا","",'تحليل الفجوة'!$D77)</f>
        <v>التحسين</v>
      </c>
      <c r="F77" s="17" t="str">
        <f>IF($B77="لا","",'تحليل الفجوة'!$S77)</f>
        <v>تحليل فجوة + تدقيق</v>
      </c>
      <c r="G77" s="17" t="str">
        <f>IF($B77="لا","",'تحليل الفجوة'!$J77)</f>
        <v>غير مطبق</v>
      </c>
      <c r="H77" s="17" t="str">
        <f>IF($B77="لا","",'تحليل الفجوة'!$N77)</f>
        <v>عدم مطابقة كبرى</v>
      </c>
      <c r="I77" s="17" t="str">
        <f>IF($B77="لا","",'تحليل الفجوة'!$T77)</f>
        <v>حرجة</v>
      </c>
      <c r="J77" s="18" t="str">
        <f>IF($B77="لا","",'تحليل الفجوة'!$O77)</f>
        <v>لم تُعرَّف الأدوار والمسؤوليات لهذا البند</v>
      </c>
      <c r="K77" s="18" t="str">
        <f>IF($B77="لا","",'تحليل الفجوة'!$H77)</f>
        <v>IMT-ISE-CR-CHT-001</v>
      </c>
      <c r="L77" s="13" t="s">
        <v>680</v>
      </c>
      <c r="M77" s="10" t="s">
        <v>77</v>
      </c>
      <c r="N77" s="10" t="s">
        <v>115</v>
      </c>
      <c r="O77" s="10" t="s">
        <v>106</v>
      </c>
      <c r="P77" s="16">
        <v>46205</v>
      </c>
      <c r="Q77" s="16">
        <v>46280</v>
      </c>
      <c r="R77" s="11" t="s">
        <v>90</v>
      </c>
      <c r="S77" s="11">
        <v>100</v>
      </c>
      <c r="T77" s="10" t="s">
        <v>100</v>
      </c>
      <c r="U77" s="16">
        <v>46273</v>
      </c>
      <c r="V77" s="15" t="str">
        <f t="shared" ca="1" si="2"/>
        <v>مغلق</v>
      </c>
    </row>
    <row r="78" spans="1:22" ht="38" customHeight="1" x14ac:dyDescent="0.3">
      <c r="A78" s="15">
        <f>IF('تحليل الفجوة'!$R78="نعم",COUNTIF('تحليل الفجوة'!$R$4:'تحليل الفجوة'!$R78,"نعم"),"—")</f>
        <v>39</v>
      </c>
      <c r="B78" s="15" t="str">
        <f>'تحليل الفجوة'!$R78</f>
        <v>نعم</v>
      </c>
      <c r="C78" s="17" t="str">
        <f>IF($B78="لا","",'تحليل الفجوة'!$B78)</f>
        <v>ISO 10002:2018</v>
      </c>
      <c r="D78" s="17" t="str">
        <f>IF($B78="لا","",'تحليل الفجوة'!$C78)</f>
        <v>4.14</v>
      </c>
      <c r="E78" s="18" t="str">
        <f>IF($B78="لا","",'تحليل الفجوة'!$D78)</f>
        <v>الكفاءة</v>
      </c>
      <c r="F78" s="17" t="str">
        <f>IF($B78="لا","",'تحليل الفجوة'!$S78)</f>
        <v>تحليل فجوة</v>
      </c>
      <c r="G78" s="17" t="str">
        <f>IF($B78="لا","",'تحليل الفجوة'!$J78)</f>
        <v>مطبق جزئياً</v>
      </c>
      <c r="H78" s="17" t="str">
        <f>IF($B78="لا","",'تحليل الفجوة'!$N78)</f>
        <v>فرصة تحسين</v>
      </c>
      <c r="I78" s="17" t="str">
        <f>IF($B78="لا","",'تحليل الفجوة'!$T78)</f>
        <v>عالية</v>
      </c>
      <c r="J78" s="18" t="str">
        <f>IF($B78="لا","",'تحليل الفجوة'!$O78)</f>
        <v>التطبيق قائم على أشخاص لا على إجراء — ينهار بتغيّر الموظف</v>
      </c>
      <c r="K78" s="18" t="str">
        <f>IF($B78="لا","",'تحليل الفجوة'!$H78)</f>
        <v>IMT-ISE-CR-CHT-001</v>
      </c>
      <c r="L78" s="13" t="s">
        <v>677</v>
      </c>
      <c r="M78" s="10" t="s">
        <v>87</v>
      </c>
      <c r="N78" s="10" t="s">
        <v>115</v>
      </c>
      <c r="O78" s="10" t="s">
        <v>69</v>
      </c>
      <c r="P78" s="16">
        <v>46257</v>
      </c>
      <c r="Q78" s="16">
        <v>46297</v>
      </c>
      <c r="R78" s="11" t="s">
        <v>80</v>
      </c>
      <c r="S78" s="11">
        <v>50</v>
      </c>
      <c r="T78" s="10" t="s">
        <v>81</v>
      </c>
      <c r="U78" s="16"/>
      <c r="V78" s="15" t="str">
        <f t="shared" ca="1" si="2"/>
        <v>ضمن المدة</v>
      </c>
    </row>
    <row r="79" spans="1:22" ht="38" customHeight="1" x14ac:dyDescent="0.3">
      <c r="A79" s="15">
        <f>IF('تحليل الفجوة'!$R79="نعم",COUNTIF('تحليل الفجوة'!$R$4:'تحليل الفجوة'!$R79,"نعم"),"—")</f>
        <v>40</v>
      </c>
      <c r="B79" s="15" t="str">
        <f>'تحليل الفجوة'!$R79</f>
        <v>نعم</v>
      </c>
      <c r="C79" s="17" t="str">
        <f>IF($B79="لا","",'تحليل الفجوة'!$B79)</f>
        <v>ISO 10002:2018</v>
      </c>
      <c r="D79" s="17" t="str">
        <f>IF($B79="لا","",'تحليل الفجوة'!$C79)</f>
        <v>4.15</v>
      </c>
      <c r="E79" s="18" t="str">
        <f>IF($B79="لا","",'تحليل الفجوة'!$D79)</f>
        <v>التوقيت المناسب</v>
      </c>
      <c r="F79" s="17" t="str">
        <f>IF($B79="لا","",'تحليل الفجوة'!$S79)</f>
        <v>تحليل فجوة + تدقيق</v>
      </c>
      <c r="G79" s="17" t="str">
        <f>IF($B79="لا","",'تحليل الفجوة'!$J79)</f>
        <v>غير مطبق</v>
      </c>
      <c r="H79" s="17" t="str">
        <f>IF($B79="لا","",'تحليل الفجوة'!$N79)</f>
        <v>عدم مطابقة صغرى</v>
      </c>
      <c r="I79" s="17" t="str">
        <f>IF($B79="لا","",'تحليل الفجوة'!$T79)</f>
        <v>عالية</v>
      </c>
      <c r="J79" s="18" t="str">
        <f>IF($B79="لا","",'تحليل الفجوة'!$O79)</f>
        <v>البند غير مدرج في أي إجراء معتمد لدى الجهة</v>
      </c>
      <c r="K79" s="18" t="str">
        <f>IF($B79="لا","",'تحليل الفجوة'!$H79)</f>
        <v>IMT-ISE-CR-CHT-001</v>
      </c>
      <c r="L79" s="13" t="s">
        <v>680</v>
      </c>
      <c r="M79" s="10" t="s">
        <v>77</v>
      </c>
      <c r="N79" s="10" t="s">
        <v>115</v>
      </c>
      <c r="O79" s="10" t="s">
        <v>89</v>
      </c>
      <c r="P79" s="16">
        <v>46261</v>
      </c>
      <c r="Q79" s="16">
        <v>46336</v>
      </c>
      <c r="R79" s="11" t="s">
        <v>80</v>
      </c>
      <c r="S79" s="11">
        <v>50</v>
      </c>
      <c r="T79" s="10" t="s">
        <v>81</v>
      </c>
      <c r="U79" s="16"/>
      <c r="V79" s="15" t="str">
        <f t="shared" ca="1" si="2"/>
        <v>ضمن المدة</v>
      </c>
    </row>
    <row r="80" spans="1:22" ht="38" hidden="1" customHeight="1" x14ac:dyDescent="0.3">
      <c r="A80" s="15" t="str">
        <f>IF('تحليل الفجوة'!$R80="نعم",COUNTIF('تحليل الفجوة'!$R$4:'تحليل الفجوة'!$R80,"نعم"),"—")</f>
        <v>—</v>
      </c>
      <c r="B80" s="15" t="str">
        <f>'تحليل الفجوة'!$R80</f>
        <v>لا</v>
      </c>
      <c r="C80" s="17" t="str">
        <f>IF($B80="لا","",'تحليل الفجوة'!$B80)</f>
        <v/>
      </c>
      <c r="D80" s="17" t="str">
        <f>IF($B80="لا","",'تحليل الفجوة'!$C80)</f>
        <v/>
      </c>
      <c r="E80" s="18" t="str">
        <f>IF($B80="لا","",'تحليل الفجوة'!$D80)</f>
        <v/>
      </c>
      <c r="F80" s="17" t="str">
        <f>IF($B80="لا","",'تحليل الفجوة'!$S80)</f>
        <v/>
      </c>
      <c r="G80" s="17" t="str">
        <f>IF($B80="لا","",'تحليل الفجوة'!$J80)</f>
        <v/>
      </c>
      <c r="H80" s="17" t="str">
        <f>IF($B80="لا","",'تحليل الفجوة'!$N80)</f>
        <v/>
      </c>
      <c r="I80" s="17" t="str">
        <f>IF($B80="لا","",'تحليل الفجوة'!$T80)</f>
        <v/>
      </c>
      <c r="J80" s="18" t="str">
        <f>IF($B80="لا","",'تحليل الفجوة'!$O80)</f>
        <v/>
      </c>
      <c r="K80" s="18" t="str">
        <f>IF($B80="لا","",'تحليل الفجوة'!$H80)</f>
        <v/>
      </c>
      <c r="L80" s="19"/>
      <c r="M80" s="19"/>
      <c r="N80" s="19"/>
      <c r="O80" s="19"/>
      <c r="P80" s="19"/>
      <c r="Q80" s="19"/>
      <c r="R80" s="19"/>
      <c r="S80" s="19"/>
      <c r="T80" s="19"/>
      <c r="U80" s="19"/>
      <c r="V80" s="15" t="str">
        <f t="shared" ca="1" si="2"/>
        <v>—</v>
      </c>
    </row>
    <row r="81" spans="1:22" ht="38" customHeight="1" x14ac:dyDescent="0.3">
      <c r="A81" s="15">
        <f>IF('تحليل الفجوة'!$R81="نعم",COUNTIF('تحليل الفجوة'!$R$4:'تحليل الفجوة'!$R81,"نعم"),"—")</f>
        <v>41</v>
      </c>
      <c r="B81" s="15" t="str">
        <f>'تحليل الفجوة'!$R81</f>
        <v>نعم</v>
      </c>
      <c r="C81" s="17" t="str">
        <f>IF($B81="لا","",'تحليل الفجوة'!$B81)</f>
        <v>ISO 10002:2018</v>
      </c>
      <c r="D81" s="17" t="str">
        <f>IF($B81="لا","",'تحليل الفجوة'!$C81)</f>
        <v>5.2</v>
      </c>
      <c r="E81" s="18" t="str">
        <f>IF($B81="لا","",'تحليل الفجوة'!$D81)</f>
        <v>القيادة والالتزام</v>
      </c>
      <c r="F81" s="17" t="str">
        <f>IF($B81="لا","",'تحليل الفجوة'!$S81)</f>
        <v>تحليل فجوة + تدقيق</v>
      </c>
      <c r="G81" s="17" t="str">
        <f>IF($B81="لا","",'تحليل الفجوة'!$J81)</f>
        <v>غير مطبق</v>
      </c>
      <c r="H81" s="17" t="str">
        <f>IF($B81="لا","",'تحليل الفجوة'!$N81)</f>
        <v>عدم مطابقة كبرى</v>
      </c>
      <c r="I81" s="17" t="str">
        <f>IF($B81="لا","",'تحليل الفجوة'!$T81)</f>
        <v>حرجة</v>
      </c>
      <c r="J81" s="18" t="str">
        <f>IF($B81="لا","",'تحليل الفجوة'!$O81)</f>
        <v>لا توجد آلية لجمع البيانات المطلوبة لهذا البند</v>
      </c>
      <c r="K81" s="18" t="str">
        <f>IF($B81="لا","",'تحليل الفجوة'!$H81)</f>
        <v>IMT-ISE-CP-POL-001</v>
      </c>
      <c r="L81" s="13" t="s">
        <v>680</v>
      </c>
      <c r="M81" s="10" t="s">
        <v>77</v>
      </c>
      <c r="N81" s="10" t="s">
        <v>115</v>
      </c>
      <c r="O81" s="10" t="s">
        <v>69</v>
      </c>
      <c r="P81" s="16">
        <v>46217</v>
      </c>
      <c r="Q81" s="16">
        <v>46292</v>
      </c>
      <c r="R81" s="11" t="s">
        <v>80</v>
      </c>
      <c r="S81" s="11">
        <v>75</v>
      </c>
      <c r="T81" s="10" t="s">
        <v>81</v>
      </c>
      <c r="U81" s="16"/>
      <c r="V81" s="15" t="str">
        <f t="shared" ca="1" si="2"/>
        <v>ضمن المدة</v>
      </c>
    </row>
    <row r="82" spans="1:22" ht="38" hidden="1" customHeight="1" x14ac:dyDescent="0.3">
      <c r="A82" s="15" t="str">
        <f>IF('تحليل الفجوة'!$R82="نعم",COUNTIF('تحليل الفجوة'!$R$4:'تحليل الفجوة'!$R82,"نعم"),"—")</f>
        <v>—</v>
      </c>
      <c r="B82" s="15" t="str">
        <f>'تحليل الفجوة'!$R82</f>
        <v>لا</v>
      </c>
      <c r="C82" s="17" t="str">
        <f>IF($B82="لا","",'تحليل الفجوة'!$B82)</f>
        <v/>
      </c>
      <c r="D82" s="17" t="str">
        <f>IF($B82="لا","",'تحليل الفجوة'!$C82)</f>
        <v/>
      </c>
      <c r="E82" s="18" t="str">
        <f>IF($B82="لا","",'تحليل الفجوة'!$D82)</f>
        <v/>
      </c>
      <c r="F82" s="17" t="str">
        <f>IF($B82="لا","",'تحليل الفجوة'!$S82)</f>
        <v/>
      </c>
      <c r="G82" s="17" t="str">
        <f>IF($B82="لا","",'تحليل الفجوة'!$J82)</f>
        <v/>
      </c>
      <c r="H82" s="17" t="str">
        <f>IF($B82="لا","",'تحليل الفجوة'!$N82)</f>
        <v/>
      </c>
      <c r="I82" s="17" t="str">
        <f>IF($B82="لا","",'تحليل الفجوة'!$T82)</f>
        <v/>
      </c>
      <c r="J82" s="18" t="str">
        <f>IF($B82="لا","",'تحليل الفجوة'!$O82)</f>
        <v/>
      </c>
      <c r="K82" s="18" t="str">
        <f>IF($B82="لا","",'تحليل الفجوة'!$H82)</f>
        <v/>
      </c>
      <c r="L82" s="19"/>
      <c r="M82" s="19"/>
      <c r="N82" s="19"/>
      <c r="O82" s="19"/>
      <c r="P82" s="19"/>
      <c r="Q82" s="19"/>
      <c r="R82" s="19"/>
      <c r="S82" s="19"/>
      <c r="T82" s="19"/>
      <c r="U82" s="19"/>
      <c r="V82" s="15" t="str">
        <f t="shared" ca="1" si="2"/>
        <v>—</v>
      </c>
    </row>
    <row r="83" spans="1:22" ht="38" hidden="1" customHeight="1" x14ac:dyDescent="0.3">
      <c r="A83" s="15" t="str">
        <f>IF('تحليل الفجوة'!$R83="نعم",COUNTIF('تحليل الفجوة'!$R$4:'تحليل الفجوة'!$R83,"نعم"),"—")</f>
        <v>—</v>
      </c>
      <c r="B83" s="15" t="str">
        <f>'تحليل الفجوة'!$R83</f>
        <v>لا</v>
      </c>
      <c r="C83" s="17" t="str">
        <f>IF($B83="لا","",'تحليل الفجوة'!$B83)</f>
        <v/>
      </c>
      <c r="D83" s="17" t="str">
        <f>IF($B83="لا","",'تحليل الفجوة'!$C83)</f>
        <v/>
      </c>
      <c r="E83" s="18" t="str">
        <f>IF($B83="لا","",'تحليل الفجوة'!$D83)</f>
        <v/>
      </c>
      <c r="F83" s="17" t="str">
        <f>IF($B83="لا","",'تحليل الفجوة'!$S83)</f>
        <v/>
      </c>
      <c r="G83" s="17" t="str">
        <f>IF($B83="لا","",'تحليل الفجوة'!$J83)</f>
        <v/>
      </c>
      <c r="H83" s="17" t="str">
        <f>IF($B83="لا","",'تحليل الفجوة'!$N83)</f>
        <v/>
      </c>
      <c r="I83" s="17" t="str">
        <f>IF($B83="لا","",'تحليل الفجوة'!$T83)</f>
        <v/>
      </c>
      <c r="J83" s="18" t="str">
        <f>IF($B83="لا","",'تحليل الفجوة'!$O83)</f>
        <v/>
      </c>
      <c r="K83" s="18" t="str">
        <f>IF($B83="لا","",'تحليل الفجوة'!$H83)</f>
        <v/>
      </c>
      <c r="L83" s="19"/>
      <c r="M83" s="19"/>
      <c r="N83" s="19"/>
      <c r="O83" s="19"/>
      <c r="P83" s="19"/>
      <c r="Q83" s="19"/>
      <c r="R83" s="19"/>
      <c r="S83" s="19"/>
      <c r="T83" s="19"/>
      <c r="U83" s="19"/>
      <c r="V83" s="15" t="str">
        <f t="shared" ca="1" si="2"/>
        <v>—</v>
      </c>
    </row>
    <row r="84" spans="1:22" ht="38" hidden="1" customHeight="1" x14ac:dyDescent="0.3">
      <c r="A84" s="15" t="str">
        <f>IF('تحليل الفجوة'!$R84="نعم",COUNTIF('تحليل الفجوة'!$R$4:'تحليل الفجوة'!$R84,"نعم"),"—")</f>
        <v>—</v>
      </c>
      <c r="B84" s="15" t="str">
        <f>'تحليل الفجوة'!$R84</f>
        <v>لا</v>
      </c>
      <c r="C84" s="17" t="str">
        <f>IF($B84="لا","",'تحليل الفجوة'!$B84)</f>
        <v/>
      </c>
      <c r="D84" s="17" t="str">
        <f>IF($B84="لا","",'تحليل الفجوة'!$C84)</f>
        <v/>
      </c>
      <c r="E84" s="18" t="str">
        <f>IF($B84="لا","",'تحليل الفجوة'!$D84)</f>
        <v/>
      </c>
      <c r="F84" s="17" t="str">
        <f>IF($B84="لا","",'تحليل الفجوة'!$S84)</f>
        <v/>
      </c>
      <c r="G84" s="17" t="str">
        <f>IF($B84="لا","",'تحليل الفجوة'!$J84)</f>
        <v/>
      </c>
      <c r="H84" s="17" t="str">
        <f>IF($B84="لا","",'تحليل الفجوة'!$N84)</f>
        <v/>
      </c>
      <c r="I84" s="17" t="str">
        <f>IF($B84="لا","",'تحليل الفجوة'!$T84)</f>
        <v/>
      </c>
      <c r="J84" s="18" t="str">
        <f>IF($B84="لا","",'تحليل الفجوة'!$O84)</f>
        <v/>
      </c>
      <c r="K84" s="18" t="str">
        <f>IF($B84="لا","",'تحليل الفجوة'!$H84)</f>
        <v/>
      </c>
      <c r="L84" s="19"/>
      <c r="M84" s="19"/>
      <c r="N84" s="19"/>
      <c r="O84" s="19"/>
      <c r="P84" s="19"/>
      <c r="Q84" s="19"/>
      <c r="R84" s="19"/>
      <c r="S84" s="19"/>
      <c r="T84" s="19"/>
      <c r="U84" s="19"/>
      <c r="V84" s="15" t="str">
        <f t="shared" ca="1" si="2"/>
        <v>—</v>
      </c>
    </row>
    <row r="85" spans="1:22" ht="38" hidden="1" customHeight="1" x14ac:dyDescent="0.3">
      <c r="A85" s="15" t="str">
        <f>IF('تحليل الفجوة'!$R85="نعم",COUNTIF('تحليل الفجوة'!$R$4:'تحليل الفجوة'!$R85,"نعم"),"—")</f>
        <v>—</v>
      </c>
      <c r="B85" s="15" t="str">
        <f>'تحليل الفجوة'!$R85</f>
        <v>لا</v>
      </c>
      <c r="C85" s="17" t="str">
        <f>IF($B85="لا","",'تحليل الفجوة'!$B85)</f>
        <v/>
      </c>
      <c r="D85" s="17" t="str">
        <f>IF($B85="لا","",'تحليل الفجوة'!$C85)</f>
        <v/>
      </c>
      <c r="E85" s="18" t="str">
        <f>IF($B85="لا","",'تحليل الفجوة'!$D85)</f>
        <v/>
      </c>
      <c r="F85" s="17" t="str">
        <f>IF($B85="لا","",'تحليل الفجوة'!$S85)</f>
        <v/>
      </c>
      <c r="G85" s="17" t="str">
        <f>IF($B85="لا","",'تحليل الفجوة'!$J85)</f>
        <v/>
      </c>
      <c r="H85" s="17" t="str">
        <f>IF($B85="لا","",'تحليل الفجوة'!$N85)</f>
        <v/>
      </c>
      <c r="I85" s="17" t="str">
        <f>IF($B85="لا","",'تحليل الفجوة'!$T85)</f>
        <v/>
      </c>
      <c r="J85" s="18" t="str">
        <f>IF($B85="لا","",'تحليل الفجوة'!$O85)</f>
        <v/>
      </c>
      <c r="K85" s="18" t="str">
        <f>IF($B85="لا","",'تحليل الفجوة'!$H85)</f>
        <v/>
      </c>
      <c r="L85" s="19"/>
      <c r="M85" s="19"/>
      <c r="N85" s="19"/>
      <c r="O85" s="19"/>
      <c r="P85" s="19"/>
      <c r="Q85" s="19"/>
      <c r="R85" s="19"/>
      <c r="S85" s="19"/>
      <c r="T85" s="19"/>
      <c r="U85" s="19"/>
      <c r="V85" s="15" t="str">
        <f t="shared" ca="1" si="2"/>
        <v>—</v>
      </c>
    </row>
    <row r="86" spans="1:22" ht="38" customHeight="1" x14ac:dyDescent="0.3">
      <c r="A86" s="15">
        <f>IF('تحليل الفجوة'!$R86="نعم",COUNTIF('تحليل الفجوة'!$R$4:'تحليل الفجوة'!$R86,"نعم"),"—")</f>
        <v>42</v>
      </c>
      <c r="B86" s="15" t="str">
        <f>'تحليل الفجوة'!$R86</f>
        <v>نعم</v>
      </c>
      <c r="C86" s="17" t="str">
        <f>IF($B86="لا","",'تحليل الفجوة'!$B86)</f>
        <v>ISO 10002:2018</v>
      </c>
      <c r="D86" s="17" t="str">
        <f>IF($B86="لا","",'تحليل الفجوة'!$C86)</f>
        <v>6.3</v>
      </c>
      <c r="E86" s="18" t="str">
        <f>IF($B86="لا","",'تحليل الفجوة'!$D86)</f>
        <v>أنشطة عملية معالجة الشكاوى</v>
      </c>
      <c r="F86" s="17" t="str">
        <f>IF($B86="لا","",'تحليل الفجوة'!$S86)</f>
        <v>تحليل فجوة + تدقيق</v>
      </c>
      <c r="G86" s="17" t="str">
        <f>IF($B86="لا","",'تحليل الفجوة'!$J86)</f>
        <v>غير مطبق</v>
      </c>
      <c r="H86" s="17" t="str">
        <f>IF($B86="لا","",'تحليل الفجوة'!$N86)</f>
        <v>عدم مطابقة كبرى</v>
      </c>
      <c r="I86" s="17" t="str">
        <f>IF($B86="لا","",'تحليل الفجوة'!$T86)</f>
        <v>حرجة</v>
      </c>
      <c r="J86" s="18" t="str">
        <f>IF($B86="لا","",'تحليل الفجوة'!$O86)</f>
        <v>البند غير مدرج في أي إجراء معتمد لدى الجهة</v>
      </c>
      <c r="K86" s="18" t="str">
        <f>IF($B86="لا","",'تحليل الفجوة'!$H86)</f>
        <v>IMT-ISE-CP-PRO-001</v>
      </c>
      <c r="L86" s="13" t="s">
        <v>680</v>
      </c>
      <c r="M86" s="10" t="s">
        <v>77</v>
      </c>
      <c r="N86" s="10" t="s">
        <v>115</v>
      </c>
      <c r="O86" s="10" t="s">
        <v>106</v>
      </c>
      <c r="P86" s="16">
        <v>46238</v>
      </c>
      <c r="Q86" s="16">
        <v>46313</v>
      </c>
      <c r="R86" s="11" t="s">
        <v>80</v>
      </c>
      <c r="S86" s="11">
        <v>25</v>
      </c>
      <c r="T86" s="10" t="s">
        <v>81</v>
      </c>
      <c r="U86" s="16"/>
      <c r="V86" s="15" t="str">
        <f t="shared" ca="1" si="2"/>
        <v>ضمن المدة</v>
      </c>
    </row>
    <row r="87" spans="1:22" ht="38" customHeight="1" x14ac:dyDescent="0.3">
      <c r="A87" s="15">
        <f>IF('تحليل الفجوة'!$R87="نعم",COUNTIF('تحليل الفجوة'!$R$4:'تحليل الفجوة'!$R87,"نعم"),"—")</f>
        <v>43</v>
      </c>
      <c r="B87" s="15" t="str">
        <f>'تحليل الفجوة'!$R87</f>
        <v>نعم</v>
      </c>
      <c r="C87" s="17" t="str">
        <f>IF($B87="لا","",'تحليل الفجوة'!$B87)</f>
        <v>ISO 10002:2018</v>
      </c>
      <c r="D87" s="17" t="str">
        <f>IF($B87="لا","",'تحليل الفجوة'!$C87)</f>
        <v>6.4</v>
      </c>
      <c r="E87" s="18" t="str">
        <f>IF($B87="لا","",'تحليل الفجوة'!$D87)</f>
        <v>موارد عملية معالجة الشكاوى</v>
      </c>
      <c r="F87" s="17" t="str">
        <f>IF($B87="لا","",'تحليل الفجوة'!$S87)</f>
        <v>تحليل فجوة + تدقيق</v>
      </c>
      <c r="G87" s="17" t="str">
        <f>IF($B87="لا","",'تحليل الفجوة'!$J87)</f>
        <v>غير مطبق</v>
      </c>
      <c r="H87" s="17" t="str">
        <f>IF($B87="لا","",'تحليل الفجوة'!$N87)</f>
        <v>عدم مطابقة صغرى</v>
      </c>
      <c r="I87" s="17" t="str">
        <f>IF($B87="لا","",'تحليل الفجوة'!$T87)</f>
        <v>عالية</v>
      </c>
      <c r="J87" s="18" t="str">
        <f>IF($B87="لا","",'تحليل الفجوة'!$O87)</f>
        <v>غياب كامل للبند — لا وثيقة ولا سجل ولا مالك</v>
      </c>
      <c r="K87" s="18" t="str">
        <f>IF($B87="لا","",'تحليل الفجوة'!$H87)</f>
        <v>IMT-ISE-CP-PRO-001</v>
      </c>
      <c r="L87" s="13" t="s">
        <v>680</v>
      </c>
      <c r="M87" s="10" t="s">
        <v>77</v>
      </c>
      <c r="N87" s="10" t="s">
        <v>88</v>
      </c>
      <c r="O87" s="10" t="s">
        <v>79</v>
      </c>
      <c r="P87" s="16">
        <v>46205</v>
      </c>
      <c r="Q87" s="16">
        <v>46280</v>
      </c>
      <c r="R87" s="11" t="s">
        <v>99</v>
      </c>
      <c r="S87" s="11">
        <v>50</v>
      </c>
      <c r="T87" s="10" t="s">
        <v>71</v>
      </c>
      <c r="U87" s="16"/>
      <c r="V87" s="15" t="str">
        <f t="shared" ca="1" si="2"/>
        <v>ضمن المدة</v>
      </c>
    </row>
    <row r="88" spans="1:22" ht="38" hidden="1" customHeight="1" x14ac:dyDescent="0.3">
      <c r="A88" s="15" t="str">
        <f>IF('تحليل الفجوة'!$R88="نعم",COUNTIF('تحليل الفجوة'!$R$4:'تحليل الفجوة'!$R88,"نعم"),"—")</f>
        <v>—</v>
      </c>
      <c r="B88" s="15" t="str">
        <f>'تحليل الفجوة'!$R88</f>
        <v>لا</v>
      </c>
      <c r="C88" s="17" t="str">
        <f>IF($B88="لا","",'تحليل الفجوة'!$B88)</f>
        <v/>
      </c>
      <c r="D88" s="17" t="str">
        <f>IF($B88="لا","",'تحليل الفجوة'!$C88)</f>
        <v/>
      </c>
      <c r="E88" s="18" t="str">
        <f>IF($B88="لا","",'تحليل الفجوة'!$D88)</f>
        <v/>
      </c>
      <c r="F88" s="17" t="str">
        <f>IF($B88="لا","",'تحليل الفجوة'!$S88)</f>
        <v/>
      </c>
      <c r="G88" s="17" t="str">
        <f>IF($B88="لا","",'تحليل الفجوة'!$J88)</f>
        <v/>
      </c>
      <c r="H88" s="17" t="str">
        <f>IF($B88="لا","",'تحليل الفجوة'!$N88)</f>
        <v/>
      </c>
      <c r="I88" s="17" t="str">
        <f>IF($B88="لا","",'تحليل الفجوة'!$T88)</f>
        <v/>
      </c>
      <c r="J88" s="18" t="str">
        <f>IF($B88="لا","",'تحليل الفجوة'!$O88)</f>
        <v/>
      </c>
      <c r="K88" s="18" t="str">
        <f>IF($B88="لا","",'تحليل الفجوة'!$H88)</f>
        <v/>
      </c>
      <c r="L88" s="19"/>
      <c r="M88" s="19"/>
      <c r="N88" s="19"/>
      <c r="O88" s="19"/>
      <c r="P88" s="19"/>
      <c r="Q88" s="19"/>
      <c r="R88" s="19"/>
      <c r="S88" s="19"/>
      <c r="T88" s="19"/>
      <c r="U88" s="19"/>
      <c r="V88" s="15" t="str">
        <f t="shared" ca="1" si="2"/>
        <v>—</v>
      </c>
    </row>
    <row r="89" spans="1:22" ht="38" customHeight="1" x14ac:dyDescent="0.3">
      <c r="A89" s="15">
        <f>IF('تحليل الفجوة'!$R89="نعم",COUNTIF('تحليل الفجوة'!$R$4:'تحليل الفجوة'!$R89,"نعم"),"—")</f>
        <v>44</v>
      </c>
      <c r="B89" s="15" t="str">
        <f>'تحليل الفجوة'!$R89</f>
        <v>نعم</v>
      </c>
      <c r="C89" s="17" t="str">
        <f>IF($B89="لا","",'تحليل الفجوة'!$B89)</f>
        <v>ISO 10002:2018</v>
      </c>
      <c r="D89" s="17" t="str">
        <f>IF($B89="لا","",'تحليل الفجوة'!$C89)</f>
        <v>7.2</v>
      </c>
      <c r="E89" s="18" t="str">
        <f>IF($B89="لا","",'تحليل الفجوة'!$D89)</f>
        <v>استلام الشكاوى</v>
      </c>
      <c r="F89" s="17" t="str">
        <f>IF($B89="لا","",'تحليل الفجوة'!$S89)</f>
        <v>تحليل فجوة + تدقيق</v>
      </c>
      <c r="G89" s="17" t="str">
        <f>IF($B89="لا","",'تحليل الفجوة'!$J89)</f>
        <v>غير مطبق</v>
      </c>
      <c r="H89" s="17" t="str">
        <f>IF($B89="لا","",'تحليل الفجوة'!$N89)</f>
        <v>عدم مطابقة صغرى</v>
      </c>
      <c r="I89" s="17" t="str">
        <f>IF($B89="لا","",'تحليل الفجوة'!$T89)</f>
        <v>عالية</v>
      </c>
      <c r="J89" s="18" t="str">
        <f>IF($B89="لا","",'تحليل الفجوة'!$O89)</f>
        <v>لا يوجد مصدر قياس يسمح بإثبات التطبيق</v>
      </c>
      <c r="K89" s="18" t="str">
        <f>IF($B89="لا","",'تحليل الفجوة'!$H89)</f>
        <v>IMT-ISE-CP-PRO-001</v>
      </c>
      <c r="L89" s="13" t="s">
        <v>680</v>
      </c>
      <c r="M89" s="10" t="s">
        <v>77</v>
      </c>
      <c r="N89" s="10" t="s">
        <v>88</v>
      </c>
      <c r="O89" s="10" t="s">
        <v>98</v>
      </c>
      <c r="P89" s="16">
        <v>46215</v>
      </c>
      <c r="Q89" s="16">
        <v>46290</v>
      </c>
      <c r="R89" s="11" t="s">
        <v>90</v>
      </c>
      <c r="S89" s="11">
        <v>100</v>
      </c>
      <c r="T89" s="10" t="s">
        <v>91</v>
      </c>
      <c r="U89" s="16">
        <v>46285</v>
      </c>
      <c r="V89" s="15" t="str">
        <f t="shared" ca="1" si="2"/>
        <v>مغلق</v>
      </c>
    </row>
    <row r="90" spans="1:22" ht="38" hidden="1" customHeight="1" x14ac:dyDescent="0.3">
      <c r="A90" s="15" t="str">
        <f>IF('تحليل الفجوة'!$R90="نعم",COUNTIF('تحليل الفجوة'!$R$4:'تحليل الفجوة'!$R90,"نعم"),"—")</f>
        <v>—</v>
      </c>
      <c r="B90" s="15" t="str">
        <f>'تحليل الفجوة'!$R90</f>
        <v>لا</v>
      </c>
      <c r="C90" s="17" t="str">
        <f>IF($B90="لا","",'تحليل الفجوة'!$B90)</f>
        <v/>
      </c>
      <c r="D90" s="17" t="str">
        <f>IF($B90="لا","",'تحليل الفجوة'!$C90)</f>
        <v/>
      </c>
      <c r="E90" s="18" t="str">
        <f>IF($B90="لا","",'تحليل الفجوة'!$D90)</f>
        <v/>
      </c>
      <c r="F90" s="17" t="str">
        <f>IF($B90="لا","",'تحليل الفجوة'!$S90)</f>
        <v/>
      </c>
      <c r="G90" s="17" t="str">
        <f>IF($B90="لا","",'تحليل الفجوة'!$J90)</f>
        <v/>
      </c>
      <c r="H90" s="17" t="str">
        <f>IF($B90="لا","",'تحليل الفجوة'!$N90)</f>
        <v/>
      </c>
      <c r="I90" s="17" t="str">
        <f>IF($B90="لا","",'تحليل الفجوة'!$T90)</f>
        <v/>
      </c>
      <c r="J90" s="18" t="str">
        <f>IF($B90="لا","",'تحليل الفجوة'!$O90)</f>
        <v/>
      </c>
      <c r="K90" s="18" t="str">
        <f>IF($B90="لا","",'تحليل الفجوة'!$H90)</f>
        <v/>
      </c>
      <c r="L90" s="19"/>
      <c r="M90" s="19"/>
      <c r="N90" s="19"/>
      <c r="O90" s="19"/>
      <c r="P90" s="19"/>
      <c r="Q90" s="19"/>
      <c r="R90" s="19"/>
      <c r="S90" s="19"/>
      <c r="T90" s="19"/>
      <c r="U90" s="19"/>
      <c r="V90" s="15" t="str">
        <f t="shared" ca="1" si="2"/>
        <v>—</v>
      </c>
    </row>
    <row r="91" spans="1:22" ht="38" customHeight="1" x14ac:dyDescent="0.3">
      <c r="A91" s="15">
        <f>IF('تحليل الفجوة'!$R91="نعم",COUNTIF('تحليل الفجوة'!$R$4:'تحليل الفجوة'!$R91,"نعم"),"—")</f>
        <v>45</v>
      </c>
      <c r="B91" s="15" t="str">
        <f>'تحليل الفجوة'!$R91</f>
        <v>نعم</v>
      </c>
      <c r="C91" s="17" t="str">
        <f>IF($B91="لا","",'تحليل الفجوة'!$B91)</f>
        <v>ISO 10002:2018</v>
      </c>
      <c r="D91" s="17" t="str">
        <f>IF($B91="لا","",'تحليل الفجوة'!$C91)</f>
        <v>7.4</v>
      </c>
      <c r="E91" s="18" t="str">
        <f>IF($B91="لا","",'تحليل الفجوة'!$D91)</f>
        <v>الإشعار باستلام الشكاوى</v>
      </c>
      <c r="F91" s="17" t="str">
        <f>IF($B91="لا","",'تحليل الفجوة'!$S91)</f>
        <v>تحليل فجوة</v>
      </c>
      <c r="G91" s="17" t="str">
        <f>IF($B91="لا","",'تحليل الفجوة'!$J91)</f>
        <v>مطبق جزئياً</v>
      </c>
      <c r="H91" s="17" t="str">
        <f>IF($B91="لا","",'تحليل الفجوة'!$N91)</f>
        <v>مطابق</v>
      </c>
      <c r="I91" s="17" t="str">
        <f>IF($B91="لا","",'تحليل الفجوة'!$T91)</f>
        <v>متوسطة</v>
      </c>
      <c r="J91" s="18" t="str">
        <f>IF($B91="لا","",'تحليل الفجوة'!$O91)</f>
        <v>الدورية غير منضبطة ولا يوجد تذكير أو مالك للمتابعة</v>
      </c>
      <c r="K91" s="18" t="str">
        <f>IF($B91="لا","",'تحليل الفجوة'!$H91)</f>
        <v>IMT-ISE-CP-PRO-001</v>
      </c>
      <c r="L91" s="13" t="s">
        <v>677</v>
      </c>
      <c r="M91" s="10" t="s">
        <v>87</v>
      </c>
      <c r="N91" s="10" t="s">
        <v>88</v>
      </c>
      <c r="O91" s="10" t="s">
        <v>69</v>
      </c>
      <c r="P91" s="16">
        <v>46230</v>
      </c>
      <c r="Q91" s="16">
        <v>46270</v>
      </c>
      <c r="R91" s="11" t="s">
        <v>80</v>
      </c>
      <c r="S91" s="11">
        <v>75</v>
      </c>
      <c r="T91" s="10" t="s">
        <v>81</v>
      </c>
      <c r="U91" s="16"/>
      <c r="V91" s="15" t="str">
        <f t="shared" ca="1" si="2"/>
        <v>ضمن المدة</v>
      </c>
    </row>
    <row r="92" spans="1:22" ht="38" customHeight="1" x14ac:dyDescent="0.3">
      <c r="A92" s="15">
        <f>IF('تحليل الفجوة'!$R92="نعم",COUNTIF('تحليل الفجوة'!$R$4:'تحليل الفجوة'!$R92,"نعم"),"—")</f>
        <v>46</v>
      </c>
      <c r="B92" s="15" t="str">
        <f>'تحليل الفجوة'!$R92</f>
        <v>نعم</v>
      </c>
      <c r="C92" s="17" t="str">
        <f>IF($B92="لا","",'تحليل الفجوة'!$B92)</f>
        <v>ISO 10002:2018</v>
      </c>
      <c r="D92" s="17" t="str">
        <f>IF($B92="لا","",'تحليل الفجوة'!$C92)</f>
        <v>7.5</v>
      </c>
      <c r="E92" s="18" t="str">
        <f>IF($B92="لا","",'تحليل الفجوة'!$D92)</f>
        <v>التقييم الأولي للشكاوى</v>
      </c>
      <c r="F92" s="17" t="str">
        <f>IF($B92="لا","",'تحليل الفجوة'!$S92)</f>
        <v>تحليل فجوة</v>
      </c>
      <c r="G92" s="17" t="str">
        <f>IF($B92="لا","",'تحليل الفجوة'!$J92)</f>
        <v>مطبق جزئياً</v>
      </c>
      <c r="H92" s="17" t="str">
        <f>IF($B92="لا","",'تحليل الفجوة'!$N92)</f>
        <v>مطابق</v>
      </c>
      <c r="I92" s="17" t="str">
        <f>IF($B92="لا","",'تحليل الفجوة'!$T92)</f>
        <v>عالية</v>
      </c>
      <c r="J92" s="18" t="str">
        <f>IF($B92="لا","",'تحليل الفجوة'!$O92)</f>
        <v>تطبيق جزئي — يحتاج تعميماً على باقي القنوات والإدارات</v>
      </c>
      <c r="K92" s="18" t="str">
        <f>IF($B92="لا","",'تحليل الفجوة'!$H92)</f>
        <v>IMT-ISE-CP-PRO-001</v>
      </c>
      <c r="L92" s="13" t="s">
        <v>681</v>
      </c>
      <c r="M92" s="10" t="s">
        <v>110</v>
      </c>
      <c r="N92" s="10" t="s">
        <v>88</v>
      </c>
      <c r="O92" s="10" t="s">
        <v>89</v>
      </c>
      <c r="P92" s="16">
        <v>46248</v>
      </c>
      <c r="Q92" s="16">
        <v>46368</v>
      </c>
      <c r="R92" s="11" t="s">
        <v>80</v>
      </c>
      <c r="S92" s="11">
        <v>25</v>
      </c>
      <c r="T92" s="10" t="s">
        <v>81</v>
      </c>
      <c r="U92" s="16"/>
      <c r="V92" s="15" t="str">
        <f t="shared" ca="1" si="2"/>
        <v>ضمن المدة</v>
      </c>
    </row>
    <row r="93" spans="1:22" ht="38" customHeight="1" x14ac:dyDescent="0.3">
      <c r="A93" s="15">
        <f>IF('تحليل الفجوة'!$R93="نعم",COUNTIF('تحليل الفجوة'!$R$4:'تحليل الفجوة'!$R93,"نعم"),"—")</f>
        <v>47</v>
      </c>
      <c r="B93" s="15" t="str">
        <f>'تحليل الفجوة'!$R93</f>
        <v>نعم</v>
      </c>
      <c r="C93" s="17" t="str">
        <f>IF($B93="لا","",'تحليل الفجوة'!$B93)</f>
        <v>ISO 10002:2018</v>
      </c>
      <c r="D93" s="17" t="str">
        <f>IF($B93="لا","",'تحليل الفجوة'!$C93)</f>
        <v>7.6</v>
      </c>
      <c r="E93" s="18" t="str">
        <f>IF($B93="لا","",'تحليل الفجوة'!$D93)</f>
        <v>التحقيق في الشكاوى</v>
      </c>
      <c r="F93" s="17" t="str">
        <f>IF($B93="لا","",'تحليل الفجوة'!$S93)</f>
        <v>تحليل فجوة + تدقيق</v>
      </c>
      <c r="G93" s="17" t="str">
        <f>IF($B93="لا","",'تحليل الفجوة'!$J93)</f>
        <v>مطبق جزئياً</v>
      </c>
      <c r="H93" s="17" t="str">
        <f>IF($B93="لا","",'تحليل الفجوة'!$N93)</f>
        <v>عدم مطابقة صغرى</v>
      </c>
      <c r="I93" s="17" t="str">
        <f>IF($B93="لا","",'تحليل الفجوة'!$T93)</f>
        <v>عالية</v>
      </c>
      <c r="J93" s="18" t="str">
        <f>IF($B93="لا","",'تحليل الفجوة'!$O93)</f>
        <v>التطبيق قائم على أشخاص لا على إجراء — ينهار بتغيّر الموظف</v>
      </c>
      <c r="K93" s="18" t="str">
        <f>IF($B93="لا","",'تحليل الفجوة'!$H93)</f>
        <v>IMT-ISE-CP-PRO-001</v>
      </c>
      <c r="L93" s="13" t="s">
        <v>677</v>
      </c>
      <c r="M93" s="10" t="s">
        <v>87</v>
      </c>
      <c r="N93" s="10" t="s">
        <v>115</v>
      </c>
      <c r="O93" s="10" t="s">
        <v>69</v>
      </c>
      <c r="P93" s="16">
        <v>46253</v>
      </c>
      <c r="Q93" s="16">
        <v>46293</v>
      </c>
      <c r="R93" s="11" t="s">
        <v>107</v>
      </c>
      <c r="S93" s="11">
        <v>0</v>
      </c>
      <c r="T93" s="10" t="s">
        <v>71</v>
      </c>
      <c r="U93" s="16"/>
      <c r="V93" s="15" t="str">
        <f t="shared" ca="1" si="2"/>
        <v>ضمن المدة</v>
      </c>
    </row>
    <row r="94" spans="1:22" ht="38" customHeight="1" x14ac:dyDescent="0.3">
      <c r="A94" s="15">
        <f>IF('تحليل الفجوة'!$R94="نعم",COUNTIF('تحليل الفجوة'!$R$4:'تحليل الفجوة'!$R94,"نعم"),"—")</f>
        <v>48</v>
      </c>
      <c r="B94" s="15" t="str">
        <f>'تحليل الفجوة'!$R94</f>
        <v>نعم</v>
      </c>
      <c r="C94" s="17" t="str">
        <f>IF($B94="لا","",'تحليل الفجوة'!$B94)</f>
        <v>ISO 10002:2018</v>
      </c>
      <c r="D94" s="17" t="str">
        <f>IF($B94="لا","",'تحليل الفجوة'!$C94)</f>
        <v>7.7</v>
      </c>
      <c r="E94" s="18" t="str">
        <f>IF($B94="لا","",'تحليل الفجوة'!$D94)</f>
        <v>الرد على الشكاوى</v>
      </c>
      <c r="F94" s="17" t="str">
        <f>IF($B94="لا","",'تحليل الفجوة'!$S94)</f>
        <v>تحليل فجوة + تدقيق</v>
      </c>
      <c r="G94" s="17" t="str">
        <f>IF($B94="لا","",'تحليل الفجوة'!$J94)</f>
        <v>مطبق جزئياً</v>
      </c>
      <c r="H94" s="17" t="str">
        <f>IF($B94="لا","",'تحليل الفجوة'!$N94)</f>
        <v>عدم مطابقة صغرى</v>
      </c>
      <c r="I94" s="17" t="str">
        <f>IF($B94="لا","",'تحليل الفجوة'!$T94)</f>
        <v>عالية</v>
      </c>
      <c r="J94" s="18" t="str">
        <f>IF($B94="لا","",'تحليل الفجوة'!$O94)</f>
        <v>الوثيقة موجودة والسجل غير مفعَّل — الفجوة في التشغيل لا في التوثيق</v>
      </c>
      <c r="K94" s="18" t="str">
        <f>IF($B94="لا","",'تحليل الفجوة'!$H94)</f>
        <v>IMT-ISE-CP-PRO-001</v>
      </c>
      <c r="L94" s="13" t="s">
        <v>682</v>
      </c>
      <c r="M94" s="10" t="s">
        <v>67</v>
      </c>
      <c r="N94" s="10" t="s">
        <v>88</v>
      </c>
      <c r="O94" s="10" t="s">
        <v>106</v>
      </c>
      <c r="P94" s="16">
        <v>46258</v>
      </c>
      <c r="Q94" s="16">
        <v>46303</v>
      </c>
      <c r="R94" s="11" t="s">
        <v>70</v>
      </c>
      <c r="S94" s="11">
        <v>0</v>
      </c>
      <c r="T94" s="10" t="s">
        <v>71</v>
      </c>
      <c r="U94" s="16"/>
      <c r="V94" s="15" t="str">
        <f t="shared" ca="1" si="2"/>
        <v>ضمن المدة</v>
      </c>
    </row>
    <row r="95" spans="1:22" ht="38" hidden="1" customHeight="1" x14ac:dyDescent="0.3">
      <c r="A95" s="15" t="str">
        <f>IF('تحليل الفجوة'!$R95="نعم",COUNTIF('تحليل الفجوة'!$R$4:'تحليل الفجوة'!$R95,"نعم"),"—")</f>
        <v>—</v>
      </c>
      <c r="B95" s="15" t="str">
        <f>'تحليل الفجوة'!$R95</f>
        <v>لا</v>
      </c>
      <c r="C95" s="17" t="str">
        <f>IF($B95="لا","",'تحليل الفجوة'!$B95)</f>
        <v/>
      </c>
      <c r="D95" s="17" t="str">
        <f>IF($B95="لا","",'تحليل الفجوة'!$C95)</f>
        <v/>
      </c>
      <c r="E95" s="18" t="str">
        <f>IF($B95="لا","",'تحليل الفجوة'!$D95)</f>
        <v/>
      </c>
      <c r="F95" s="17" t="str">
        <f>IF($B95="لا","",'تحليل الفجوة'!$S95)</f>
        <v/>
      </c>
      <c r="G95" s="17" t="str">
        <f>IF($B95="لا","",'تحليل الفجوة'!$J95)</f>
        <v/>
      </c>
      <c r="H95" s="17" t="str">
        <f>IF($B95="لا","",'تحليل الفجوة'!$N95)</f>
        <v/>
      </c>
      <c r="I95" s="17" t="str">
        <f>IF($B95="لا","",'تحليل الفجوة'!$T95)</f>
        <v/>
      </c>
      <c r="J95" s="18" t="str">
        <f>IF($B95="لا","",'تحليل الفجوة'!$O95)</f>
        <v/>
      </c>
      <c r="K95" s="18" t="str">
        <f>IF($B95="لا","",'تحليل الفجوة'!$H95)</f>
        <v/>
      </c>
      <c r="L95" s="19"/>
      <c r="M95" s="19"/>
      <c r="N95" s="19"/>
      <c r="O95" s="19"/>
      <c r="P95" s="19"/>
      <c r="Q95" s="19"/>
      <c r="R95" s="19"/>
      <c r="S95" s="19"/>
      <c r="T95" s="19"/>
      <c r="U95" s="19"/>
      <c r="V95" s="15" t="str">
        <f t="shared" ca="1" si="2"/>
        <v>—</v>
      </c>
    </row>
    <row r="96" spans="1:22" ht="38" customHeight="1" x14ac:dyDescent="0.3">
      <c r="A96" s="15">
        <f>IF('تحليل الفجوة'!$R96="نعم",COUNTIF('تحليل الفجوة'!$R$4:'تحليل الفجوة'!$R96,"نعم"),"—")</f>
        <v>49</v>
      </c>
      <c r="B96" s="15" t="str">
        <f>'تحليل الفجوة'!$R96</f>
        <v>نعم</v>
      </c>
      <c r="C96" s="17" t="str">
        <f>IF($B96="لا","",'تحليل الفجوة'!$B96)</f>
        <v>ISO 10002:2018</v>
      </c>
      <c r="D96" s="17" t="str">
        <f>IF($B96="لا","",'تحليل الفجوة'!$C96)</f>
        <v>7.9</v>
      </c>
      <c r="E96" s="18" t="str">
        <f>IF($B96="لا","",'تحليل الفجوة'!$D96)</f>
        <v>إغلاق الشكاوى</v>
      </c>
      <c r="F96" s="17" t="str">
        <f>IF($B96="لا","",'تحليل الفجوة'!$S96)</f>
        <v>تحليل فجوة + تدقيق</v>
      </c>
      <c r="G96" s="17" t="str">
        <f>IF($B96="لا","",'تحليل الفجوة'!$J96)</f>
        <v>مطبق جزئياً</v>
      </c>
      <c r="H96" s="17" t="str">
        <f>IF($B96="لا","",'تحليل الفجوة'!$N96)</f>
        <v>عدم مطابقة صغرى</v>
      </c>
      <c r="I96" s="17" t="str">
        <f>IF($B96="لا","",'تحليل الفجوة'!$T96)</f>
        <v>عالية</v>
      </c>
      <c r="J96" s="18" t="str">
        <f>IF($B96="لا","",'تحليل الفجوة'!$O96)</f>
        <v>التطبيق قائم على أشخاص لا على إجراء — ينهار بتغيّر الموظف</v>
      </c>
      <c r="K96" s="18" t="str">
        <f>IF($B96="لا","",'تحليل الفجوة'!$H96)</f>
        <v>IMT-ISE-CP-PRO-001</v>
      </c>
      <c r="L96" s="13" t="s">
        <v>682</v>
      </c>
      <c r="M96" s="10" t="s">
        <v>67</v>
      </c>
      <c r="N96" s="10" t="s">
        <v>88</v>
      </c>
      <c r="O96" s="10" t="s">
        <v>112</v>
      </c>
      <c r="P96" s="16">
        <v>46232</v>
      </c>
      <c r="Q96" s="16">
        <v>46277</v>
      </c>
      <c r="R96" s="11" t="s">
        <v>80</v>
      </c>
      <c r="S96" s="11">
        <v>50</v>
      </c>
      <c r="T96" s="10" t="s">
        <v>81</v>
      </c>
      <c r="U96" s="16"/>
      <c r="V96" s="15" t="str">
        <f t="shared" ca="1" si="2"/>
        <v>ضمن المدة</v>
      </c>
    </row>
    <row r="97" spans="1:22" ht="38" hidden="1" customHeight="1" x14ac:dyDescent="0.3">
      <c r="A97" s="15" t="str">
        <f>IF('تحليل الفجوة'!$R97="نعم",COUNTIF('تحليل الفجوة'!$R$4:'تحليل الفجوة'!$R97,"نعم"),"—")</f>
        <v>—</v>
      </c>
      <c r="B97" s="15" t="str">
        <f>'تحليل الفجوة'!$R97</f>
        <v>لا</v>
      </c>
      <c r="C97" s="17" t="str">
        <f>IF($B97="لا","",'تحليل الفجوة'!$B97)</f>
        <v/>
      </c>
      <c r="D97" s="17" t="str">
        <f>IF($B97="لا","",'تحليل الفجوة'!$C97)</f>
        <v/>
      </c>
      <c r="E97" s="18" t="str">
        <f>IF($B97="لا","",'تحليل الفجوة'!$D97)</f>
        <v/>
      </c>
      <c r="F97" s="17" t="str">
        <f>IF($B97="لا","",'تحليل الفجوة'!$S97)</f>
        <v/>
      </c>
      <c r="G97" s="17" t="str">
        <f>IF($B97="لا","",'تحليل الفجوة'!$J97)</f>
        <v/>
      </c>
      <c r="H97" s="17" t="str">
        <f>IF($B97="لا","",'تحليل الفجوة'!$N97)</f>
        <v/>
      </c>
      <c r="I97" s="17" t="str">
        <f>IF($B97="لا","",'تحليل الفجوة'!$T97)</f>
        <v/>
      </c>
      <c r="J97" s="18" t="str">
        <f>IF($B97="لا","",'تحليل الفجوة'!$O97)</f>
        <v/>
      </c>
      <c r="K97" s="18" t="str">
        <f>IF($B97="لا","",'تحليل الفجوة'!$H97)</f>
        <v/>
      </c>
      <c r="L97" s="19"/>
      <c r="M97" s="19"/>
      <c r="N97" s="19"/>
      <c r="O97" s="19"/>
      <c r="P97" s="19"/>
      <c r="Q97" s="19"/>
      <c r="R97" s="19"/>
      <c r="S97" s="19"/>
      <c r="T97" s="19"/>
      <c r="U97" s="19"/>
      <c r="V97" s="15" t="str">
        <f t="shared" ca="1" si="2"/>
        <v>—</v>
      </c>
    </row>
    <row r="98" spans="1:22" ht="38" hidden="1" customHeight="1" x14ac:dyDescent="0.3">
      <c r="A98" s="15" t="str">
        <f>IF('تحليل الفجوة'!$R98="نعم",COUNTIF('تحليل الفجوة'!$R$4:'تحليل الفجوة'!$R98,"نعم"),"—")</f>
        <v>—</v>
      </c>
      <c r="B98" s="15" t="str">
        <f>'تحليل الفجوة'!$R98</f>
        <v>لا</v>
      </c>
      <c r="C98" s="17" t="str">
        <f>IF($B98="لا","",'تحليل الفجوة'!$B98)</f>
        <v/>
      </c>
      <c r="D98" s="17" t="str">
        <f>IF($B98="لا","",'تحليل الفجوة'!$C98)</f>
        <v/>
      </c>
      <c r="E98" s="18" t="str">
        <f>IF($B98="لا","",'تحليل الفجوة'!$D98)</f>
        <v/>
      </c>
      <c r="F98" s="17" t="str">
        <f>IF($B98="لا","",'تحليل الفجوة'!$S98)</f>
        <v/>
      </c>
      <c r="G98" s="17" t="str">
        <f>IF($B98="لا","",'تحليل الفجوة'!$J98)</f>
        <v/>
      </c>
      <c r="H98" s="17" t="str">
        <f>IF($B98="لا","",'تحليل الفجوة'!$N98)</f>
        <v/>
      </c>
      <c r="I98" s="17" t="str">
        <f>IF($B98="لا","",'تحليل الفجوة'!$T98)</f>
        <v/>
      </c>
      <c r="J98" s="18" t="str">
        <f>IF($B98="لا","",'تحليل الفجوة'!$O98)</f>
        <v/>
      </c>
      <c r="K98" s="18" t="str">
        <f>IF($B98="لا","",'تحليل الفجوة'!$H98)</f>
        <v/>
      </c>
      <c r="L98" s="19"/>
      <c r="M98" s="19"/>
      <c r="N98" s="19"/>
      <c r="O98" s="19"/>
      <c r="P98" s="19"/>
      <c r="Q98" s="19"/>
      <c r="R98" s="19"/>
      <c r="S98" s="19"/>
      <c r="T98" s="19"/>
      <c r="U98" s="19"/>
      <c r="V98" s="15" t="str">
        <f t="shared" ca="1" si="2"/>
        <v>—</v>
      </c>
    </row>
    <row r="99" spans="1:22" ht="38" customHeight="1" x14ac:dyDescent="0.3">
      <c r="A99" s="15">
        <f>IF('تحليل الفجوة'!$R99="نعم",COUNTIF('تحليل الفجوة'!$R$4:'تحليل الفجوة'!$R99,"نعم"),"—")</f>
        <v>50</v>
      </c>
      <c r="B99" s="15" t="str">
        <f>'تحليل الفجوة'!$R99</f>
        <v>نعم</v>
      </c>
      <c r="C99" s="17" t="str">
        <f>IF($B99="لا","",'تحليل الفجوة'!$B99)</f>
        <v>ISO 10002:2018</v>
      </c>
      <c r="D99" s="17" t="str">
        <f>IF($B99="لا","",'تحليل الفجوة'!$C99)</f>
        <v>8.3</v>
      </c>
      <c r="E99" s="18" t="str">
        <f>IF($B99="لا","",'تحليل الفجوة'!$D99)</f>
        <v>تقييم الرضا عن عملية معالجة الشكاوى</v>
      </c>
      <c r="F99" s="17" t="str">
        <f>IF($B99="لا","",'تحليل الفجوة'!$S99)</f>
        <v>تحليل فجوة + تدقيق</v>
      </c>
      <c r="G99" s="17" t="str">
        <f>IF($B99="لا","",'تحليل الفجوة'!$J99)</f>
        <v>غير مطبق</v>
      </c>
      <c r="H99" s="17" t="str">
        <f>IF($B99="لا","",'تحليل الفجوة'!$N99)</f>
        <v>عدم مطابقة صغرى</v>
      </c>
      <c r="I99" s="17" t="str">
        <f>IF($B99="لا","",'تحليل الفجوة'!$T99)</f>
        <v>عالية</v>
      </c>
      <c r="J99" s="18" t="str">
        <f>IF($B99="لا","",'تحليل الفجوة'!$O99)</f>
        <v>غياب كامل للبند — لا وثيقة ولا سجل ولا مالك</v>
      </c>
      <c r="K99" s="18" t="str">
        <f>IF($B99="لا","",'تحليل الفجوة'!$H99)</f>
        <v>IMT-ISE-CS-PRO-001</v>
      </c>
      <c r="L99" s="13" t="s">
        <v>680</v>
      </c>
      <c r="M99" s="10" t="s">
        <v>77</v>
      </c>
      <c r="N99" s="10" t="s">
        <v>97</v>
      </c>
      <c r="O99" s="10" t="s">
        <v>79</v>
      </c>
      <c r="P99" s="16">
        <v>46253</v>
      </c>
      <c r="Q99" s="16">
        <v>46328</v>
      </c>
      <c r="R99" s="11" t="s">
        <v>90</v>
      </c>
      <c r="S99" s="11">
        <v>100</v>
      </c>
      <c r="T99" s="10" t="s">
        <v>91</v>
      </c>
      <c r="U99" s="16">
        <v>46326</v>
      </c>
      <c r="V99" s="15" t="str">
        <f t="shared" ca="1" si="2"/>
        <v>مغلق</v>
      </c>
    </row>
    <row r="100" spans="1:22" ht="38" hidden="1" customHeight="1" x14ac:dyDescent="0.3">
      <c r="A100" s="15" t="str">
        <f>IF('تحليل الفجوة'!$R100="نعم",COUNTIF('تحليل الفجوة'!$R$4:'تحليل الفجوة'!$R100,"نعم"),"—")</f>
        <v>—</v>
      </c>
      <c r="B100" s="15" t="str">
        <f>'تحليل الفجوة'!$R100</f>
        <v>لا</v>
      </c>
      <c r="C100" s="17" t="str">
        <f>IF($B100="لا","",'تحليل الفجوة'!$B100)</f>
        <v/>
      </c>
      <c r="D100" s="17" t="str">
        <f>IF($B100="لا","",'تحليل الفجوة'!$C100)</f>
        <v/>
      </c>
      <c r="E100" s="18" t="str">
        <f>IF($B100="لا","",'تحليل الفجوة'!$D100)</f>
        <v/>
      </c>
      <c r="F100" s="17" t="str">
        <f>IF($B100="لا","",'تحليل الفجوة'!$S100)</f>
        <v/>
      </c>
      <c r="G100" s="17" t="str">
        <f>IF($B100="لا","",'تحليل الفجوة'!$J100)</f>
        <v/>
      </c>
      <c r="H100" s="17" t="str">
        <f>IF($B100="لا","",'تحليل الفجوة'!$N100)</f>
        <v/>
      </c>
      <c r="I100" s="17" t="str">
        <f>IF($B100="لا","",'تحليل الفجوة'!$T100)</f>
        <v/>
      </c>
      <c r="J100" s="18" t="str">
        <f>IF($B100="لا","",'تحليل الفجوة'!$O100)</f>
        <v/>
      </c>
      <c r="K100" s="18" t="str">
        <f>IF($B100="لا","",'تحليل الفجوة'!$H100)</f>
        <v/>
      </c>
      <c r="L100" s="19"/>
      <c r="M100" s="19"/>
      <c r="N100" s="19"/>
      <c r="O100" s="19"/>
      <c r="P100" s="19"/>
      <c r="Q100" s="19"/>
      <c r="R100" s="19"/>
      <c r="S100" s="19"/>
      <c r="T100" s="19"/>
      <c r="U100" s="19"/>
      <c r="V100" s="15" t="str">
        <f t="shared" ref="V100:V131" ca="1" si="3">IF($B100="لا","—",IF($R100="مكتمل","مغلق",IF($Q100="","—",IF($Q100&lt;TODAY(),"متأخر","ضمن المدة"))))</f>
        <v>—</v>
      </c>
    </row>
    <row r="101" spans="1:22" ht="38" customHeight="1" x14ac:dyDescent="0.3">
      <c r="A101" s="15">
        <f>IF('تحليل الفجوة'!$R101="نعم",COUNTIF('تحليل الفجوة'!$R$4:'تحليل الفجوة'!$R101,"نعم"),"—")</f>
        <v>51</v>
      </c>
      <c r="B101" s="15" t="str">
        <f>'تحليل الفجوة'!$R101</f>
        <v>نعم</v>
      </c>
      <c r="C101" s="17" t="str">
        <f>IF($B101="لا","",'تحليل الفجوة'!$B101)</f>
        <v>ISO 10002:2018</v>
      </c>
      <c r="D101" s="17" t="str">
        <f>IF($B101="لا","",'تحليل الفجوة'!$C101)</f>
        <v>8.5</v>
      </c>
      <c r="E101" s="18" t="str">
        <f>IF($B101="لا","",'تحليل الفجوة'!$D101)</f>
        <v>تدقيق عملية معالجة الشكاوى</v>
      </c>
      <c r="F101" s="17" t="str">
        <f>IF($B101="لا","",'تحليل الفجوة'!$S101)</f>
        <v>تحليل فجوة</v>
      </c>
      <c r="G101" s="17" t="str">
        <f>IF($B101="لا","",'تحليل الفجوة'!$J101)</f>
        <v>مطبق جزئياً</v>
      </c>
      <c r="H101" s="17" t="str">
        <f>IF($B101="لا","",'تحليل الفجوة'!$N101)</f>
        <v>فرصة تحسين</v>
      </c>
      <c r="I101" s="17" t="str">
        <f>IF($B101="لا","",'تحليل الفجوة'!$T101)</f>
        <v>عالية</v>
      </c>
      <c r="J101" s="18" t="str">
        <f>IF($B101="لا","",'تحليل الفجوة'!$O101)</f>
        <v>الوثيقة موجودة والسجل غير مفعَّل — الفجوة في التشغيل لا في التوثيق</v>
      </c>
      <c r="K101" s="18" t="str">
        <f>IF($B101="لا","",'تحليل الفجوة'!$H101)</f>
        <v>IMT-ISE-SH-PRO-004</v>
      </c>
      <c r="L101" s="13" t="s">
        <v>677</v>
      </c>
      <c r="M101" s="10" t="s">
        <v>87</v>
      </c>
      <c r="N101" s="10" t="s">
        <v>115</v>
      </c>
      <c r="O101" s="10" t="s">
        <v>106</v>
      </c>
      <c r="P101" s="16">
        <v>46250</v>
      </c>
      <c r="Q101" s="16">
        <v>46290</v>
      </c>
      <c r="R101" s="11" t="s">
        <v>90</v>
      </c>
      <c r="S101" s="11">
        <v>100</v>
      </c>
      <c r="T101" s="10" t="s">
        <v>100</v>
      </c>
      <c r="U101" s="16">
        <v>46283</v>
      </c>
      <c r="V101" s="15" t="str">
        <f t="shared" ca="1" si="3"/>
        <v>مغلق</v>
      </c>
    </row>
    <row r="102" spans="1:22" ht="38" hidden="1" customHeight="1" x14ac:dyDescent="0.3">
      <c r="A102" s="15" t="str">
        <f>IF('تحليل الفجوة'!$R102="نعم",COUNTIF('تحليل الفجوة'!$R$4:'تحليل الفجوة'!$R102,"نعم"),"—")</f>
        <v>—</v>
      </c>
      <c r="B102" s="15" t="str">
        <f>'تحليل الفجوة'!$R102</f>
        <v>لا</v>
      </c>
      <c r="C102" s="17" t="str">
        <f>IF($B102="لا","",'تحليل الفجوة'!$B102)</f>
        <v/>
      </c>
      <c r="D102" s="17" t="str">
        <f>IF($B102="لا","",'تحليل الفجوة'!$C102)</f>
        <v/>
      </c>
      <c r="E102" s="18" t="str">
        <f>IF($B102="لا","",'تحليل الفجوة'!$D102)</f>
        <v/>
      </c>
      <c r="F102" s="17" t="str">
        <f>IF($B102="لا","",'تحليل الفجوة'!$S102)</f>
        <v/>
      </c>
      <c r="G102" s="17" t="str">
        <f>IF($B102="لا","",'تحليل الفجوة'!$J102)</f>
        <v/>
      </c>
      <c r="H102" s="17" t="str">
        <f>IF($B102="لا","",'تحليل الفجوة'!$N102)</f>
        <v/>
      </c>
      <c r="I102" s="17" t="str">
        <f>IF($B102="لا","",'تحليل الفجوة'!$T102)</f>
        <v/>
      </c>
      <c r="J102" s="18" t="str">
        <f>IF($B102="لا","",'تحليل الفجوة'!$O102)</f>
        <v/>
      </c>
      <c r="K102" s="18" t="str">
        <f>IF($B102="لا","",'تحليل الفجوة'!$H102)</f>
        <v/>
      </c>
      <c r="L102" s="19"/>
      <c r="M102" s="19"/>
      <c r="N102" s="19"/>
      <c r="O102" s="19"/>
      <c r="P102" s="19"/>
      <c r="Q102" s="19"/>
      <c r="R102" s="19"/>
      <c r="S102" s="19"/>
      <c r="T102" s="19"/>
      <c r="U102" s="19"/>
      <c r="V102" s="15" t="str">
        <f t="shared" ca="1" si="3"/>
        <v>—</v>
      </c>
    </row>
    <row r="103" spans="1:22" ht="38" hidden="1" customHeight="1" x14ac:dyDescent="0.3">
      <c r="A103" s="15" t="str">
        <f>IF('تحليل الفجوة'!$R103="نعم",COUNTIF('تحليل الفجوة'!$R$4:'تحليل الفجوة'!$R103,"نعم"),"—")</f>
        <v>—</v>
      </c>
      <c r="B103" s="15" t="str">
        <f>'تحليل الفجوة'!$R103</f>
        <v>لا</v>
      </c>
      <c r="C103" s="17" t="str">
        <f>IF($B103="لا","",'تحليل الفجوة'!$B103)</f>
        <v/>
      </c>
      <c r="D103" s="17" t="str">
        <f>IF($B103="لا","",'تحليل الفجوة'!$C103)</f>
        <v/>
      </c>
      <c r="E103" s="18" t="str">
        <f>IF($B103="لا","",'تحليل الفجوة'!$D103)</f>
        <v/>
      </c>
      <c r="F103" s="17" t="str">
        <f>IF($B103="لا","",'تحليل الفجوة'!$S103)</f>
        <v/>
      </c>
      <c r="G103" s="17" t="str">
        <f>IF($B103="لا","",'تحليل الفجوة'!$J103)</f>
        <v/>
      </c>
      <c r="H103" s="17" t="str">
        <f>IF($B103="لا","",'تحليل الفجوة'!$N103)</f>
        <v/>
      </c>
      <c r="I103" s="17" t="str">
        <f>IF($B103="لا","",'تحليل الفجوة'!$T103)</f>
        <v/>
      </c>
      <c r="J103" s="18" t="str">
        <f>IF($B103="لا","",'تحليل الفجوة'!$O103)</f>
        <v/>
      </c>
      <c r="K103" s="18" t="str">
        <f>IF($B103="لا","",'تحليل الفجوة'!$H103)</f>
        <v/>
      </c>
      <c r="L103" s="19"/>
      <c r="M103" s="19"/>
      <c r="N103" s="19"/>
      <c r="O103" s="19"/>
      <c r="P103" s="19"/>
      <c r="Q103" s="19"/>
      <c r="R103" s="19"/>
      <c r="S103" s="19"/>
      <c r="T103" s="19"/>
      <c r="U103" s="19"/>
      <c r="V103" s="15" t="str">
        <f t="shared" ca="1" si="3"/>
        <v>—</v>
      </c>
    </row>
    <row r="104" spans="1:22" ht="38" customHeight="1" x14ac:dyDescent="0.3">
      <c r="A104" s="15">
        <f>IF('تحليل الفجوة'!$R104="نعم",COUNTIF('تحليل الفجوة'!$R$4:'تحليل الفجوة'!$R104,"نعم"),"—")</f>
        <v>52</v>
      </c>
      <c r="B104" s="15" t="str">
        <f>'تحليل الفجوة'!$R104</f>
        <v>نعم</v>
      </c>
      <c r="C104" s="17" t="str">
        <f>IF($B104="لا","",'تحليل الفجوة'!$B104)</f>
        <v>ISO 10002:2018</v>
      </c>
      <c r="D104" s="17" t="str">
        <f>IF($B104="لا","",'تحليل الفجوة'!$C104)</f>
        <v>الملحق A</v>
      </c>
      <c r="E104" s="18" t="str">
        <f>IF($B104="لا","",'تحليل الفجوة'!$D104)</f>
        <v>العلاقة البينية بين المواصفات الأربع</v>
      </c>
      <c r="F104" s="17" t="str">
        <f>IF($B104="لا","",'تحليل الفجوة'!$S104)</f>
        <v>تحليل فجوة + تدقيق</v>
      </c>
      <c r="G104" s="17" t="str">
        <f>IF($B104="لا","",'تحليل الفجوة'!$J104)</f>
        <v>مطبق جزئياً</v>
      </c>
      <c r="H104" s="17" t="str">
        <f>IF($B104="لا","",'تحليل الفجوة'!$N104)</f>
        <v>عدم مطابقة صغرى</v>
      </c>
      <c r="I104" s="17" t="str">
        <f>IF($B104="لا","",'تحليل الفجوة'!$T104)</f>
        <v>عالية</v>
      </c>
      <c r="J104" s="18" t="str">
        <f>IF($B104="لا","",'تحليل الفجوة'!$O104)</f>
        <v>التطبيق قائم على أشخاص لا على إجراء — ينهار بتغيّر الموظف</v>
      </c>
      <c r="K104" s="18" t="str">
        <f>IF($B104="لا","",'تحليل الفجوة'!$H104)</f>
        <v>IMT-ISE-IM-PLN-000</v>
      </c>
      <c r="L104" s="13" t="s">
        <v>677</v>
      </c>
      <c r="M104" s="10" t="s">
        <v>87</v>
      </c>
      <c r="N104" s="10" t="s">
        <v>97</v>
      </c>
      <c r="O104" s="10" t="s">
        <v>106</v>
      </c>
      <c r="P104" s="16">
        <v>46211</v>
      </c>
      <c r="Q104" s="16">
        <v>46251</v>
      </c>
      <c r="R104" s="11" t="s">
        <v>107</v>
      </c>
      <c r="S104" s="11">
        <v>0</v>
      </c>
      <c r="T104" s="10" t="s">
        <v>71</v>
      </c>
      <c r="U104" s="16"/>
      <c r="V104" s="15" t="str">
        <f t="shared" ca="1" si="3"/>
        <v>متأخر</v>
      </c>
    </row>
    <row r="105" spans="1:22" ht="38" customHeight="1" x14ac:dyDescent="0.3">
      <c r="A105" s="15">
        <f>IF('تحليل الفجوة'!$R105="نعم",COUNTIF('تحليل الفجوة'!$R$4:'تحليل الفجوة'!$R105,"نعم"),"—")</f>
        <v>53</v>
      </c>
      <c r="B105" s="15" t="str">
        <f>'تحليل الفجوة'!$R105</f>
        <v>نعم</v>
      </c>
      <c r="C105" s="17" t="str">
        <f>IF($B105="لا","",'تحليل الفجوة'!$B105)</f>
        <v>ISO 10002:2018</v>
      </c>
      <c r="D105" s="17" t="str">
        <f>IF($B105="لا","",'تحليل الفجوة'!$C105)</f>
        <v>الملحق B</v>
      </c>
      <c r="E105" s="18" t="str">
        <f>IF($B105="لا","",'تحليل الفجوة'!$D105)</f>
        <v>إرشادات للمنشآت الصغيرة</v>
      </c>
      <c r="F105" s="17" t="str">
        <f>IF($B105="لا","",'تحليل الفجوة'!$S105)</f>
        <v>تحليل فجوة</v>
      </c>
      <c r="G105" s="17" t="str">
        <f>IF($B105="لا","",'تحليل الفجوة'!$J105)</f>
        <v>مطبق جزئياً</v>
      </c>
      <c r="H105" s="17" t="str">
        <f>IF($B105="لا","",'تحليل الفجوة'!$N105)</f>
        <v>مطابق</v>
      </c>
      <c r="I105" s="17" t="str">
        <f>IF($B105="لا","",'تحليل الفجوة'!$T105)</f>
        <v>عالية</v>
      </c>
      <c r="J105" s="18" t="str">
        <f>IF($B105="لا","",'تحليل الفجوة'!$O105)</f>
        <v>التطبيق قائم على أشخاص لا على إجراء — ينهار بتغيّر الموظف</v>
      </c>
      <c r="K105" s="18" t="str">
        <f>IF($B105="لا","",'تحليل الفجوة'!$H105)</f>
        <v>IMT-ISE-IM-GDE-001</v>
      </c>
      <c r="L105" s="13" t="s">
        <v>677</v>
      </c>
      <c r="M105" s="10" t="s">
        <v>87</v>
      </c>
      <c r="N105" s="10" t="s">
        <v>115</v>
      </c>
      <c r="O105" s="10" t="s">
        <v>79</v>
      </c>
      <c r="P105" s="16">
        <v>46257</v>
      </c>
      <c r="Q105" s="16">
        <v>46297</v>
      </c>
      <c r="R105" s="11" t="s">
        <v>80</v>
      </c>
      <c r="S105" s="11">
        <v>75</v>
      </c>
      <c r="T105" s="10" t="s">
        <v>81</v>
      </c>
      <c r="U105" s="16"/>
      <c r="V105" s="15" t="str">
        <f t="shared" ca="1" si="3"/>
        <v>ضمن المدة</v>
      </c>
    </row>
    <row r="106" spans="1:22" ht="38" customHeight="1" x14ac:dyDescent="0.3">
      <c r="A106" s="15">
        <f>IF('تحليل الفجوة'!$R106="نعم",COUNTIF('تحليل الفجوة'!$R$4:'تحليل الفجوة'!$R106,"نعم"),"—")</f>
        <v>54</v>
      </c>
      <c r="B106" s="15" t="str">
        <f>'تحليل الفجوة'!$R106</f>
        <v>نعم</v>
      </c>
      <c r="C106" s="17" t="str">
        <f>IF($B106="لا","",'تحليل الفجوة'!$B106)</f>
        <v>ISO 10002:2018</v>
      </c>
      <c r="D106" s="17" t="str">
        <f>IF($B106="لا","",'تحليل الفجوة'!$C106)</f>
        <v>الملحق C</v>
      </c>
      <c r="E106" s="18" t="str">
        <f>IF($B106="لا","",'تحليل الفجوة'!$D106)</f>
        <v>نموذج لمقدم الشكوى</v>
      </c>
      <c r="F106" s="17" t="str">
        <f>IF($B106="لا","",'تحليل الفجوة'!$S106)</f>
        <v>تحليل فجوة</v>
      </c>
      <c r="G106" s="17" t="str">
        <f>IF($B106="لا","",'تحليل الفجوة'!$J106)</f>
        <v>مطبق جزئياً</v>
      </c>
      <c r="H106" s="17" t="str">
        <f>IF($B106="لا","",'تحليل الفجوة'!$N106)</f>
        <v>مطابق</v>
      </c>
      <c r="I106" s="17" t="str">
        <f>IF($B106="لا","",'تحليل الفجوة'!$T106)</f>
        <v>منخفضة</v>
      </c>
      <c r="J106" s="18" t="str">
        <f>IF($B106="لا","",'تحليل الفجوة'!$O106)</f>
        <v>التطبيق قائم على أشخاص لا على إجراء — ينهار بتغيّر الموظف</v>
      </c>
      <c r="K106" s="18" t="str">
        <f>IF($B106="لا","",'تحليل الفجوة'!$H106)</f>
        <v>IMT-ISE-CP-FRM-001</v>
      </c>
      <c r="L106" s="13" t="s">
        <v>677</v>
      </c>
      <c r="M106" s="10" t="s">
        <v>87</v>
      </c>
      <c r="N106" s="10" t="s">
        <v>115</v>
      </c>
      <c r="O106" s="10" t="s">
        <v>89</v>
      </c>
      <c r="P106" s="16">
        <v>46215</v>
      </c>
      <c r="Q106" s="16">
        <v>46255</v>
      </c>
      <c r="R106" s="11" t="s">
        <v>80</v>
      </c>
      <c r="S106" s="11">
        <v>50</v>
      </c>
      <c r="T106" s="10" t="s">
        <v>81</v>
      </c>
      <c r="U106" s="16"/>
      <c r="V106" s="15" t="str">
        <f t="shared" ca="1" si="3"/>
        <v>ضمن المدة</v>
      </c>
    </row>
    <row r="107" spans="1:22" ht="38" customHeight="1" x14ac:dyDescent="0.3">
      <c r="A107" s="15">
        <f>IF('تحليل الفجوة'!$R107="نعم",COUNTIF('تحليل الفجوة'!$R$4:'تحليل الفجوة'!$R107,"نعم"),"—")</f>
        <v>55</v>
      </c>
      <c r="B107" s="15" t="str">
        <f>'تحليل الفجوة'!$R107</f>
        <v>نعم</v>
      </c>
      <c r="C107" s="17" t="str">
        <f>IF($B107="لا","",'تحليل الفجوة'!$B107)</f>
        <v>ISO 10002:2018</v>
      </c>
      <c r="D107" s="17" t="str">
        <f>IF($B107="لا","",'تحليل الفجوة'!$C107)</f>
        <v>الملحق D</v>
      </c>
      <c r="E107" s="18" t="str">
        <f>IF($B107="لا","",'تحليل الفجوة'!$D107)</f>
        <v>الموضوعية في معالجة الشكاوى</v>
      </c>
      <c r="F107" s="17" t="str">
        <f>IF($B107="لا","",'تحليل الفجوة'!$S107)</f>
        <v>تحليل فجوة + تدقيق</v>
      </c>
      <c r="G107" s="17" t="str">
        <f>IF($B107="لا","",'تحليل الفجوة'!$J107)</f>
        <v>مطبق جزئياً</v>
      </c>
      <c r="H107" s="17" t="str">
        <f>IF($B107="لا","",'تحليل الفجوة'!$N107)</f>
        <v>عدم مطابقة صغرى</v>
      </c>
      <c r="I107" s="17" t="str">
        <f>IF($B107="لا","",'تحليل الفجوة'!$T107)</f>
        <v>عالية</v>
      </c>
      <c r="J107" s="18" t="str">
        <f>IF($B107="لا","",'تحليل الفجوة'!$O107)</f>
        <v>المخرج لا يُغذّي أي قرار حالياً — يُنتج ثم يُحفظ</v>
      </c>
      <c r="K107" s="18" t="str">
        <f>IF($B107="لا","",'تحليل الفجوة'!$H107)</f>
        <v>IMT-ISE-CP-PRO-001</v>
      </c>
      <c r="L107" s="13" t="s">
        <v>682</v>
      </c>
      <c r="M107" s="10" t="s">
        <v>67</v>
      </c>
      <c r="N107" s="10" t="s">
        <v>115</v>
      </c>
      <c r="O107" s="10" t="s">
        <v>69</v>
      </c>
      <c r="P107" s="16">
        <v>46222</v>
      </c>
      <c r="Q107" s="16">
        <v>46267</v>
      </c>
      <c r="R107" s="11" t="s">
        <v>90</v>
      </c>
      <c r="S107" s="11">
        <v>100</v>
      </c>
      <c r="T107" s="10" t="s">
        <v>100</v>
      </c>
      <c r="U107" s="16">
        <v>46264</v>
      </c>
      <c r="V107" s="15" t="str">
        <f t="shared" ca="1" si="3"/>
        <v>مغلق</v>
      </c>
    </row>
    <row r="108" spans="1:22" ht="38" customHeight="1" x14ac:dyDescent="0.3">
      <c r="A108" s="15">
        <f>IF('تحليل الفجوة'!$R108="نعم",COUNTIF('تحليل الفجوة'!$R$4:'تحليل الفجوة'!$R108,"نعم"),"—")</f>
        <v>56</v>
      </c>
      <c r="B108" s="15" t="str">
        <f>'تحليل الفجوة'!$R108</f>
        <v>نعم</v>
      </c>
      <c r="C108" s="17" t="str">
        <f>IF($B108="لا","",'تحليل الفجوة'!$B108)</f>
        <v>ISO 10002:2018</v>
      </c>
      <c r="D108" s="17" t="str">
        <f>IF($B108="لا","",'تحليل الفجوة'!$C108)</f>
        <v>الملحق E</v>
      </c>
      <c r="E108" s="18" t="str">
        <f>IF($B108="لا","",'تحليل الفجوة'!$D108)</f>
        <v>مخطط سير معالجة الشكاوى</v>
      </c>
      <c r="F108" s="17" t="str">
        <f>IF($B108="لا","",'تحليل الفجوة'!$S108)</f>
        <v>تحليل فجوة</v>
      </c>
      <c r="G108" s="17" t="str">
        <f>IF($B108="لا","",'تحليل الفجوة'!$J108)</f>
        <v>مطبق جزئياً</v>
      </c>
      <c r="H108" s="17" t="str">
        <f>IF($B108="لا","",'تحليل الفجوة'!$N108)</f>
        <v>ملاحظة</v>
      </c>
      <c r="I108" s="17" t="str">
        <f>IF($B108="لا","",'تحليل الفجوة'!$T108)</f>
        <v>منخفضة</v>
      </c>
      <c r="J108" s="18" t="str">
        <f>IF($B108="لا","",'تحليل الفجوة'!$O108)</f>
        <v>تطبيق جزئي — يحتاج تعميماً على باقي القنوات والإدارات</v>
      </c>
      <c r="K108" s="18" t="str">
        <f>IF($B108="لا","",'تحليل الفجوة'!$H108)</f>
        <v>IMT-ISE-CP-PRO-001</v>
      </c>
      <c r="L108" s="13" t="s">
        <v>677</v>
      </c>
      <c r="M108" s="10" t="s">
        <v>87</v>
      </c>
      <c r="N108" s="10" t="s">
        <v>115</v>
      </c>
      <c r="O108" s="10" t="s">
        <v>69</v>
      </c>
      <c r="P108" s="16">
        <v>46216</v>
      </c>
      <c r="Q108" s="16">
        <v>46256</v>
      </c>
      <c r="R108" s="11" t="s">
        <v>90</v>
      </c>
      <c r="S108" s="11">
        <v>100</v>
      </c>
      <c r="T108" s="10" t="s">
        <v>100</v>
      </c>
      <c r="U108" s="16">
        <v>46252</v>
      </c>
      <c r="V108" s="15" t="str">
        <f t="shared" ca="1" si="3"/>
        <v>مغلق</v>
      </c>
    </row>
    <row r="109" spans="1:22" ht="38" customHeight="1" x14ac:dyDescent="0.3">
      <c r="A109" s="15">
        <f>IF('تحليل الفجوة'!$R109="نعم",COUNTIF('تحليل الفجوة'!$R$4:'تحليل الفجوة'!$R109,"نعم"),"—")</f>
        <v>57</v>
      </c>
      <c r="B109" s="15" t="str">
        <f>'تحليل الفجوة'!$R109</f>
        <v>نعم</v>
      </c>
      <c r="C109" s="17" t="str">
        <f>IF($B109="لا","",'تحليل الفجوة'!$B109)</f>
        <v>ISO 10002:2018</v>
      </c>
      <c r="D109" s="17" t="str">
        <f>IF($B109="لا","",'تحليل الفجوة'!$C109)</f>
        <v>الملحق F</v>
      </c>
      <c r="E109" s="18" t="str">
        <f>IF($B109="لا","",'تحليل الفجوة'!$D109)</f>
        <v>نموذج متابعة الشكوى</v>
      </c>
      <c r="F109" s="17" t="str">
        <f>IF($B109="لا","",'تحليل الفجوة'!$S109)</f>
        <v>تحليل فجوة + تدقيق</v>
      </c>
      <c r="G109" s="17" t="str">
        <f>IF($B109="لا","",'تحليل الفجوة'!$J109)</f>
        <v>مطبق جزئياً</v>
      </c>
      <c r="H109" s="17" t="str">
        <f>IF($B109="لا","",'تحليل الفجوة'!$N109)</f>
        <v>عدم مطابقة صغرى</v>
      </c>
      <c r="I109" s="17" t="str">
        <f>IF($B109="لا","",'تحليل الفجوة'!$T109)</f>
        <v>عالية</v>
      </c>
      <c r="J109" s="18" t="str">
        <f>IF($B109="لا","",'تحليل الفجوة'!$O109)</f>
        <v>المخرج لا يُغذّي أي قرار حالياً — يُنتج ثم يُحفظ</v>
      </c>
      <c r="K109" s="18" t="str">
        <f>IF($B109="لا","",'تحليل الفجوة'!$H109)</f>
        <v>IMT-ISE-CP-FRM-002</v>
      </c>
      <c r="L109" s="13" t="s">
        <v>678</v>
      </c>
      <c r="M109" s="10" t="s">
        <v>96</v>
      </c>
      <c r="N109" s="10" t="s">
        <v>97</v>
      </c>
      <c r="O109" s="10" t="s">
        <v>106</v>
      </c>
      <c r="P109" s="16">
        <v>46254</v>
      </c>
      <c r="Q109" s="16">
        <v>46289</v>
      </c>
      <c r="R109" s="11" t="s">
        <v>90</v>
      </c>
      <c r="S109" s="11">
        <v>100</v>
      </c>
      <c r="T109" s="10" t="s">
        <v>91</v>
      </c>
      <c r="U109" s="16">
        <v>46280</v>
      </c>
      <c r="V109" s="15" t="str">
        <f t="shared" ca="1" si="3"/>
        <v>مغلق</v>
      </c>
    </row>
    <row r="110" spans="1:22" ht="38" customHeight="1" x14ac:dyDescent="0.3">
      <c r="A110" s="15">
        <f>IF('تحليل الفجوة'!$R110="نعم",COUNTIF('تحليل الفجوة'!$R$4:'تحليل الفجوة'!$R110,"نعم"),"—")</f>
        <v>58</v>
      </c>
      <c r="B110" s="15" t="str">
        <f>'تحليل الفجوة'!$R110</f>
        <v>نعم</v>
      </c>
      <c r="C110" s="17" t="str">
        <f>IF($B110="لا","",'تحليل الفجوة'!$B110)</f>
        <v>ISO 10002:2018</v>
      </c>
      <c r="D110" s="17" t="str">
        <f>IF($B110="لا","",'تحليل الفجوة'!$C110)</f>
        <v>الملحق G</v>
      </c>
      <c r="E110" s="18" t="str">
        <f>IF($B110="لا","",'تحليل الفجوة'!$D110)</f>
        <v>الردود على الشكاوى</v>
      </c>
      <c r="F110" s="17" t="str">
        <f>IF($B110="لا","",'تحليل الفجوة'!$S110)</f>
        <v>تحليل فجوة</v>
      </c>
      <c r="G110" s="17" t="str">
        <f>IF($B110="لا","",'تحليل الفجوة'!$J110)</f>
        <v>مطبق جزئياً</v>
      </c>
      <c r="H110" s="17" t="str">
        <f>IF($B110="لا","",'تحليل الفجوة'!$N110)</f>
        <v>ملاحظة</v>
      </c>
      <c r="I110" s="17" t="str">
        <f>IF($B110="لا","",'تحليل الفجوة'!$T110)</f>
        <v>منخفضة</v>
      </c>
      <c r="J110" s="18" t="str">
        <f>IF($B110="لا","",'تحليل الفجوة'!$O110)</f>
        <v>الدورية غير منضبطة ولا يوجد تذكير أو مالك للمتابعة</v>
      </c>
      <c r="K110" s="18" t="str">
        <f>IF($B110="لا","",'تحليل الفجوة'!$H110)</f>
        <v>IMT-ISE-CP-TMP-002</v>
      </c>
      <c r="L110" s="13" t="s">
        <v>678</v>
      </c>
      <c r="M110" s="10" t="s">
        <v>96</v>
      </c>
      <c r="N110" s="10" t="s">
        <v>88</v>
      </c>
      <c r="O110" s="10" t="s">
        <v>89</v>
      </c>
      <c r="P110" s="16">
        <v>46230</v>
      </c>
      <c r="Q110" s="16">
        <v>46265</v>
      </c>
      <c r="R110" s="11" t="s">
        <v>99</v>
      </c>
      <c r="S110" s="11">
        <v>25</v>
      </c>
      <c r="T110" s="10" t="s">
        <v>71</v>
      </c>
      <c r="U110" s="16"/>
      <c r="V110" s="15" t="str">
        <f t="shared" ca="1" si="3"/>
        <v>ضمن المدة</v>
      </c>
    </row>
    <row r="111" spans="1:22" ht="38" hidden="1" customHeight="1" x14ac:dyDescent="0.3">
      <c r="A111" s="15" t="str">
        <f>IF('تحليل الفجوة'!$R111="نعم",COUNTIF('تحليل الفجوة'!$R$4:'تحليل الفجوة'!$R111,"نعم"),"—")</f>
        <v>—</v>
      </c>
      <c r="B111" s="15" t="str">
        <f>'تحليل الفجوة'!$R111</f>
        <v>لا</v>
      </c>
      <c r="C111" s="17" t="str">
        <f>IF($B111="لا","",'تحليل الفجوة'!$B111)</f>
        <v/>
      </c>
      <c r="D111" s="17" t="str">
        <f>IF($B111="لا","",'تحليل الفجوة'!$C111)</f>
        <v/>
      </c>
      <c r="E111" s="18" t="str">
        <f>IF($B111="لا","",'تحليل الفجوة'!$D111)</f>
        <v/>
      </c>
      <c r="F111" s="17" t="str">
        <f>IF($B111="لا","",'تحليل الفجوة'!$S111)</f>
        <v/>
      </c>
      <c r="G111" s="17" t="str">
        <f>IF($B111="لا","",'تحليل الفجوة'!$J111)</f>
        <v/>
      </c>
      <c r="H111" s="17" t="str">
        <f>IF($B111="لا","",'تحليل الفجوة'!$N111)</f>
        <v/>
      </c>
      <c r="I111" s="17" t="str">
        <f>IF($B111="لا","",'تحليل الفجوة'!$T111)</f>
        <v/>
      </c>
      <c r="J111" s="18" t="str">
        <f>IF($B111="لا","",'تحليل الفجوة'!$O111)</f>
        <v/>
      </c>
      <c r="K111" s="18" t="str">
        <f>IF($B111="لا","",'تحليل الفجوة'!$H111)</f>
        <v/>
      </c>
      <c r="L111" s="19"/>
      <c r="M111" s="19"/>
      <c r="N111" s="19"/>
      <c r="O111" s="19"/>
      <c r="P111" s="19"/>
      <c r="Q111" s="19"/>
      <c r="R111" s="19"/>
      <c r="S111" s="19"/>
      <c r="T111" s="19"/>
      <c r="U111" s="19"/>
      <c r="V111" s="15" t="str">
        <f t="shared" ca="1" si="3"/>
        <v>—</v>
      </c>
    </row>
    <row r="112" spans="1:22" ht="38" customHeight="1" x14ac:dyDescent="0.3">
      <c r="A112" s="15">
        <f>IF('تحليل الفجوة'!$R112="نعم",COUNTIF('تحليل الفجوة'!$R$4:'تحليل الفجوة'!$R112,"نعم"),"—")</f>
        <v>59</v>
      </c>
      <c r="B112" s="15" t="str">
        <f>'تحليل الفجوة'!$R112</f>
        <v>نعم</v>
      </c>
      <c r="C112" s="17" t="str">
        <f>IF($B112="لا","",'تحليل الفجوة'!$B112)</f>
        <v>ISO 10002:2018</v>
      </c>
      <c r="D112" s="17" t="str">
        <f>IF($B112="لا","",'تحليل الفجوة'!$C112)</f>
        <v>الملحق I</v>
      </c>
      <c r="E112" s="18" t="str">
        <f>IF($B112="لا","",'تحليل الفجوة'!$D112)</f>
        <v>المراقبة المستمرة</v>
      </c>
      <c r="F112" s="17" t="str">
        <f>IF($B112="لا","",'تحليل الفجوة'!$S112)</f>
        <v>تحليل فجوة + تدقيق</v>
      </c>
      <c r="G112" s="17" t="str">
        <f>IF($B112="لا","",'تحليل الفجوة'!$J112)</f>
        <v>مطبق جزئياً</v>
      </c>
      <c r="H112" s="17" t="str">
        <f>IF($B112="لا","",'تحليل الفجوة'!$N112)</f>
        <v>عدم مطابقة صغرى</v>
      </c>
      <c r="I112" s="17" t="str">
        <f>IF($B112="لا","",'تحليل الفجوة'!$T112)</f>
        <v>عالية</v>
      </c>
      <c r="J112" s="18" t="str">
        <f>IF($B112="لا","",'تحليل الفجوة'!$O112)</f>
        <v>تطبيق جزئي — يحتاج تعميماً على باقي القنوات والإدارات</v>
      </c>
      <c r="K112" s="18" t="str">
        <f>IF($B112="لا","",'تحليل الفجوة'!$H112)</f>
        <v>IMT-ISE-CP-MTX-001</v>
      </c>
      <c r="L112" s="13" t="s">
        <v>682</v>
      </c>
      <c r="M112" s="10" t="s">
        <v>67</v>
      </c>
      <c r="N112" s="10" t="s">
        <v>115</v>
      </c>
      <c r="O112" s="10" t="s">
        <v>106</v>
      </c>
      <c r="P112" s="16">
        <v>46232</v>
      </c>
      <c r="Q112" s="16">
        <v>46277</v>
      </c>
      <c r="R112" s="11" t="s">
        <v>70</v>
      </c>
      <c r="S112" s="11">
        <v>0</v>
      </c>
      <c r="T112" s="10" t="s">
        <v>71</v>
      </c>
      <c r="U112" s="16"/>
      <c r="V112" s="15" t="str">
        <f t="shared" ca="1" si="3"/>
        <v>ضمن المدة</v>
      </c>
    </row>
    <row r="113" spans="1:22" ht="38" customHeight="1" x14ac:dyDescent="0.3">
      <c r="A113" s="15">
        <f>IF('تحليل الفجوة'!$R113="نعم",COUNTIF('تحليل الفجوة'!$R$4:'تحليل الفجوة'!$R113,"نعم"),"—")</f>
        <v>60</v>
      </c>
      <c r="B113" s="15" t="str">
        <f>'تحليل الفجوة'!$R113</f>
        <v>نعم</v>
      </c>
      <c r="C113" s="17" t="str">
        <f>IF($B113="لا","",'تحليل الفجوة'!$B113)</f>
        <v>ISO 10002:2018</v>
      </c>
      <c r="D113" s="17" t="str">
        <f>IF($B113="لا","",'تحليل الفجوة'!$C113)</f>
        <v>الملحق J</v>
      </c>
      <c r="E113" s="18" t="str">
        <f>IF($B113="لا","",'تحليل الفجوة'!$D113)</f>
        <v>تدقيق عملية معالجة الشكاوى</v>
      </c>
      <c r="F113" s="17" t="str">
        <f>IF($B113="لا","",'تحليل الفجوة'!$S113)</f>
        <v>تحليل فجوة</v>
      </c>
      <c r="G113" s="17" t="str">
        <f>IF($B113="لا","",'تحليل الفجوة'!$J113)</f>
        <v>غير مطبق</v>
      </c>
      <c r="H113" s="17" t="str">
        <f>IF($B113="لا","",'تحليل الفجوة'!$N113)</f>
        <v>ملاحظة</v>
      </c>
      <c r="I113" s="17" t="str">
        <f>IF($B113="لا","",'تحليل الفجوة'!$T113)</f>
        <v>منخفضة</v>
      </c>
      <c r="J113" s="18" t="str">
        <f>IF($B113="لا","",'تحليل الفجوة'!$O113)</f>
        <v>لم تُعرَّف الأدوار والمسؤوليات لهذا البند</v>
      </c>
      <c r="K113" s="18" t="str">
        <f>IF($B113="لا","",'تحليل الفجوة'!$H113)</f>
        <v>IMT-ISE-CP-FRM-008</v>
      </c>
      <c r="L113" s="13" t="s">
        <v>679</v>
      </c>
      <c r="M113" s="10" t="s">
        <v>104</v>
      </c>
      <c r="N113" s="10" t="s">
        <v>88</v>
      </c>
      <c r="O113" s="10" t="s">
        <v>89</v>
      </c>
      <c r="P113" s="16">
        <v>46210</v>
      </c>
      <c r="Q113" s="16">
        <v>46300</v>
      </c>
      <c r="R113" s="11" t="s">
        <v>90</v>
      </c>
      <c r="S113" s="11">
        <v>100</v>
      </c>
      <c r="T113" s="10" t="s">
        <v>91</v>
      </c>
      <c r="U113" s="16">
        <v>46295</v>
      </c>
      <c r="V113" s="15" t="str">
        <f t="shared" ca="1" si="3"/>
        <v>مغلق</v>
      </c>
    </row>
    <row r="114" spans="1:22" ht="38" hidden="1" customHeight="1" x14ac:dyDescent="0.3">
      <c r="A114" s="15" t="str">
        <f>IF('تحليل الفجوة'!$R114="نعم",COUNTIF('تحليل الفجوة'!$R$4:'تحليل الفجوة'!$R114,"نعم"),"—")</f>
        <v>—</v>
      </c>
      <c r="B114" s="15" t="str">
        <f>'تحليل الفجوة'!$R114</f>
        <v>لا</v>
      </c>
      <c r="C114" s="17" t="str">
        <f>IF($B114="لا","",'تحليل الفجوة'!$B114)</f>
        <v/>
      </c>
      <c r="D114" s="17" t="str">
        <f>IF($B114="لا","",'تحليل الفجوة'!$C114)</f>
        <v/>
      </c>
      <c r="E114" s="18" t="str">
        <f>IF($B114="لا","",'تحليل الفجوة'!$D114)</f>
        <v/>
      </c>
      <c r="F114" s="17" t="str">
        <f>IF($B114="لا","",'تحليل الفجوة'!$S114)</f>
        <v/>
      </c>
      <c r="G114" s="17" t="str">
        <f>IF($B114="لا","",'تحليل الفجوة'!$J114)</f>
        <v/>
      </c>
      <c r="H114" s="17" t="str">
        <f>IF($B114="لا","",'تحليل الفجوة'!$N114)</f>
        <v/>
      </c>
      <c r="I114" s="17" t="str">
        <f>IF($B114="لا","",'تحليل الفجوة'!$T114)</f>
        <v/>
      </c>
      <c r="J114" s="18" t="str">
        <f>IF($B114="لا","",'تحليل الفجوة'!$O114)</f>
        <v/>
      </c>
      <c r="K114" s="18" t="str">
        <f>IF($B114="لا","",'تحليل الفجوة'!$H114)</f>
        <v/>
      </c>
      <c r="L114" s="19"/>
      <c r="M114" s="19"/>
      <c r="N114" s="19"/>
      <c r="O114" s="19"/>
      <c r="P114" s="19"/>
      <c r="Q114" s="19"/>
      <c r="R114" s="19"/>
      <c r="S114" s="19"/>
      <c r="T114" s="19"/>
      <c r="U114" s="19"/>
      <c r="V114" s="15" t="str">
        <f t="shared" ca="1" si="3"/>
        <v>—</v>
      </c>
    </row>
    <row r="115" spans="1:22" ht="38" hidden="1" customHeight="1" x14ac:dyDescent="0.3">
      <c r="A115" s="15" t="str">
        <f>IF('تحليل الفجوة'!$R115="نعم",COUNTIF('تحليل الفجوة'!$R$4:'تحليل الفجوة'!$R115,"نعم"),"—")</f>
        <v>—</v>
      </c>
      <c r="B115" s="15" t="str">
        <f>'تحليل الفجوة'!$R115</f>
        <v>لا</v>
      </c>
      <c r="C115" s="17" t="str">
        <f>IF($B115="لا","",'تحليل الفجوة'!$B115)</f>
        <v/>
      </c>
      <c r="D115" s="17" t="str">
        <f>IF($B115="لا","",'تحليل الفجوة'!$C115)</f>
        <v/>
      </c>
      <c r="E115" s="18" t="str">
        <f>IF($B115="لا","",'تحليل الفجوة'!$D115)</f>
        <v/>
      </c>
      <c r="F115" s="17" t="str">
        <f>IF($B115="لا","",'تحليل الفجوة'!$S115)</f>
        <v/>
      </c>
      <c r="G115" s="17" t="str">
        <f>IF($B115="لا","",'تحليل الفجوة'!$J115)</f>
        <v/>
      </c>
      <c r="H115" s="17" t="str">
        <f>IF($B115="لا","",'تحليل الفجوة'!$N115)</f>
        <v/>
      </c>
      <c r="I115" s="17" t="str">
        <f>IF($B115="لا","",'تحليل الفجوة'!$T115)</f>
        <v/>
      </c>
      <c r="J115" s="18" t="str">
        <f>IF($B115="لا","",'تحليل الفجوة'!$O115)</f>
        <v/>
      </c>
      <c r="K115" s="18" t="str">
        <f>IF($B115="لا","",'تحليل الفجوة'!$H115)</f>
        <v/>
      </c>
      <c r="L115" s="19"/>
      <c r="M115" s="19"/>
      <c r="N115" s="19"/>
      <c r="O115" s="19"/>
      <c r="P115" s="19"/>
      <c r="Q115" s="19"/>
      <c r="R115" s="19"/>
      <c r="S115" s="19"/>
      <c r="T115" s="19"/>
      <c r="U115" s="19"/>
      <c r="V115" s="15" t="str">
        <f t="shared" ca="1" si="3"/>
        <v>—</v>
      </c>
    </row>
    <row r="116" spans="1:22" ht="38" customHeight="1" x14ac:dyDescent="0.3">
      <c r="A116" s="15">
        <f>IF('تحليل الفجوة'!$R116="نعم",COUNTIF('تحليل الفجوة'!$R$4:'تحليل الفجوة'!$R116,"نعم"),"—")</f>
        <v>61</v>
      </c>
      <c r="B116" s="15" t="str">
        <f>'تحليل الفجوة'!$R116</f>
        <v>نعم</v>
      </c>
      <c r="C116" s="17" t="str">
        <f>IF($B116="لا","",'تحليل الفجوة'!$B116)</f>
        <v>ISO 10004:2018</v>
      </c>
      <c r="D116" s="17" t="str">
        <f>IF($B116="لا","",'تحليل الفجوة'!$C116)</f>
        <v>3</v>
      </c>
      <c r="E116" s="18" t="str">
        <f>IF($B116="لا","",'تحليل الفجوة'!$D116)</f>
        <v>المصطلحات والتعريفات</v>
      </c>
      <c r="F116" s="17" t="str">
        <f>IF($B116="لا","",'تحليل الفجوة'!$S116)</f>
        <v>تحليل فجوة</v>
      </c>
      <c r="G116" s="17" t="str">
        <f>IF($B116="لا","",'تحليل الفجوة'!$J116)</f>
        <v>غير مطبق</v>
      </c>
      <c r="H116" s="17" t="str">
        <f>IF($B116="لا","",'تحليل الفجوة'!$N116)</f>
        <v>ملاحظة</v>
      </c>
      <c r="I116" s="17" t="str">
        <f>IF($B116="لا","",'تحليل الفجوة'!$T116)</f>
        <v>عالية</v>
      </c>
      <c r="J116" s="18" t="str">
        <f>IF($B116="لا","",'تحليل الفجوة'!$O116)</f>
        <v>غياب كامل للبند — لا وثيقة ولا سجل ولا مالك</v>
      </c>
      <c r="K116" s="18" t="str">
        <f>IF($B116="لا","",'تحليل الفجوة'!$H116)</f>
        <v>IMT-ISE-CR-GLS-001</v>
      </c>
      <c r="L116" s="13" t="s">
        <v>680</v>
      </c>
      <c r="M116" s="10" t="s">
        <v>77</v>
      </c>
      <c r="N116" s="10" t="s">
        <v>114</v>
      </c>
      <c r="O116" s="10" t="s">
        <v>112</v>
      </c>
      <c r="P116" s="16">
        <v>46217</v>
      </c>
      <c r="Q116" s="16">
        <v>46292</v>
      </c>
      <c r="R116" s="11" t="s">
        <v>70</v>
      </c>
      <c r="S116" s="11">
        <v>0</v>
      </c>
      <c r="T116" s="10" t="s">
        <v>71</v>
      </c>
      <c r="U116" s="16"/>
      <c r="V116" s="15" t="str">
        <f t="shared" ca="1" si="3"/>
        <v>ضمن المدة</v>
      </c>
    </row>
    <row r="117" spans="1:22" ht="38" hidden="1" customHeight="1" x14ac:dyDescent="0.3">
      <c r="A117" s="15" t="str">
        <f>IF('تحليل الفجوة'!$R117="نعم",COUNTIF('تحليل الفجوة'!$R$4:'تحليل الفجوة'!$R117,"نعم"),"—")</f>
        <v>—</v>
      </c>
      <c r="B117" s="15" t="str">
        <f>'تحليل الفجوة'!$R117</f>
        <v>لا</v>
      </c>
      <c r="C117" s="17" t="str">
        <f>IF($B117="لا","",'تحليل الفجوة'!$B117)</f>
        <v/>
      </c>
      <c r="D117" s="17" t="str">
        <f>IF($B117="لا","",'تحليل الفجوة'!$C117)</f>
        <v/>
      </c>
      <c r="E117" s="18" t="str">
        <f>IF($B117="لا","",'تحليل الفجوة'!$D117)</f>
        <v/>
      </c>
      <c r="F117" s="17" t="str">
        <f>IF($B117="لا","",'تحليل الفجوة'!$S117)</f>
        <v/>
      </c>
      <c r="G117" s="17" t="str">
        <f>IF($B117="لا","",'تحليل الفجوة'!$J117)</f>
        <v/>
      </c>
      <c r="H117" s="17" t="str">
        <f>IF($B117="لا","",'تحليل الفجوة'!$N117)</f>
        <v/>
      </c>
      <c r="I117" s="17" t="str">
        <f>IF($B117="لا","",'تحليل الفجوة'!$T117)</f>
        <v/>
      </c>
      <c r="J117" s="18" t="str">
        <f>IF($B117="لا","",'تحليل الفجوة'!$O117)</f>
        <v/>
      </c>
      <c r="K117" s="18" t="str">
        <f>IF($B117="لا","",'تحليل الفجوة'!$H117)</f>
        <v/>
      </c>
      <c r="L117" s="19"/>
      <c r="M117" s="19"/>
      <c r="N117" s="19"/>
      <c r="O117" s="19"/>
      <c r="P117" s="19"/>
      <c r="Q117" s="19"/>
      <c r="R117" s="19"/>
      <c r="S117" s="19"/>
      <c r="T117" s="19"/>
      <c r="U117" s="19"/>
      <c r="V117" s="15" t="str">
        <f t="shared" ca="1" si="3"/>
        <v>—</v>
      </c>
    </row>
    <row r="118" spans="1:22" ht="38" hidden="1" customHeight="1" x14ac:dyDescent="0.3">
      <c r="A118" s="15" t="str">
        <f>IF('تحليل الفجوة'!$R118="نعم",COUNTIF('تحليل الفجوة'!$R$4:'تحليل الفجوة'!$R118,"نعم"),"—")</f>
        <v>—</v>
      </c>
      <c r="B118" s="15" t="str">
        <f>'تحليل الفجوة'!$R118</f>
        <v>لا</v>
      </c>
      <c r="C118" s="17" t="str">
        <f>IF($B118="لا","",'تحليل الفجوة'!$B118)</f>
        <v/>
      </c>
      <c r="D118" s="17" t="str">
        <f>IF($B118="لا","",'تحليل الفجوة'!$C118)</f>
        <v/>
      </c>
      <c r="E118" s="18" t="str">
        <f>IF($B118="لا","",'تحليل الفجوة'!$D118)</f>
        <v/>
      </c>
      <c r="F118" s="17" t="str">
        <f>IF($B118="لا","",'تحليل الفجوة'!$S118)</f>
        <v/>
      </c>
      <c r="G118" s="17" t="str">
        <f>IF($B118="لا","",'تحليل الفجوة'!$J118)</f>
        <v/>
      </c>
      <c r="H118" s="17" t="str">
        <f>IF($B118="لا","",'تحليل الفجوة'!$N118)</f>
        <v/>
      </c>
      <c r="I118" s="17" t="str">
        <f>IF($B118="لا","",'تحليل الفجوة'!$T118)</f>
        <v/>
      </c>
      <c r="J118" s="18" t="str">
        <f>IF($B118="لا","",'تحليل الفجوة'!$O118)</f>
        <v/>
      </c>
      <c r="K118" s="18" t="str">
        <f>IF($B118="لا","",'تحليل الفجوة'!$H118)</f>
        <v/>
      </c>
      <c r="L118" s="19"/>
      <c r="M118" s="19"/>
      <c r="N118" s="19"/>
      <c r="O118" s="19"/>
      <c r="P118" s="19"/>
      <c r="Q118" s="19"/>
      <c r="R118" s="19"/>
      <c r="S118" s="19"/>
      <c r="T118" s="19"/>
      <c r="U118" s="19"/>
      <c r="V118" s="15" t="str">
        <f t="shared" ca="1" si="3"/>
        <v>—</v>
      </c>
    </row>
    <row r="119" spans="1:22" ht="38" customHeight="1" x14ac:dyDescent="0.3">
      <c r="A119" s="15">
        <f>IF('تحليل الفجوة'!$R119="نعم",COUNTIF('تحليل الفجوة'!$R$4:'تحليل الفجوة'!$R119,"نعم"),"—")</f>
        <v>62</v>
      </c>
      <c r="B119" s="15" t="str">
        <f>'تحليل الفجوة'!$R119</f>
        <v>نعم</v>
      </c>
      <c r="C119" s="17" t="str">
        <f>IF($B119="لا","",'تحليل الفجوة'!$B119)</f>
        <v>ISO 10004:2018</v>
      </c>
      <c r="D119" s="17" t="str">
        <f>IF($B119="لا","",'تحليل الفجوة'!$C119)</f>
        <v>4.3.1</v>
      </c>
      <c r="E119" s="18" t="str">
        <f>IF($B119="لا","",'تحليل الفجوة'!$D119)</f>
        <v>الالتزام</v>
      </c>
      <c r="F119" s="17" t="str">
        <f>IF($B119="لا","",'تحليل الفجوة'!$S119)</f>
        <v>تحليل فجوة + تدقيق</v>
      </c>
      <c r="G119" s="17" t="str">
        <f>IF($B119="لا","",'تحليل الفجوة'!$J119)</f>
        <v>مطبق جزئياً</v>
      </c>
      <c r="H119" s="17" t="str">
        <f>IF($B119="لا","",'تحليل الفجوة'!$N119)</f>
        <v>عدم مطابقة صغرى</v>
      </c>
      <c r="I119" s="17" t="str">
        <f>IF($B119="لا","",'تحليل الفجوة'!$T119)</f>
        <v>عالية</v>
      </c>
      <c r="J119" s="18" t="str">
        <f>IF($B119="لا","",'تحليل الفجوة'!$O119)</f>
        <v>المخرج لا يُغذّي أي قرار حالياً — يُنتج ثم يُحفظ</v>
      </c>
      <c r="K119" s="18" t="str">
        <f>IF($B119="لا","",'تحليل الفجوة'!$H119)</f>
        <v>IMT-ISE-CR-CHT-001</v>
      </c>
      <c r="L119" s="13" t="s">
        <v>682</v>
      </c>
      <c r="M119" s="10" t="s">
        <v>67</v>
      </c>
      <c r="N119" s="10" t="s">
        <v>88</v>
      </c>
      <c r="O119" s="10" t="s">
        <v>89</v>
      </c>
      <c r="P119" s="16">
        <v>46261</v>
      </c>
      <c r="Q119" s="16">
        <v>46306</v>
      </c>
      <c r="R119" s="11" t="s">
        <v>90</v>
      </c>
      <c r="S119" s="11">
        <v>100</v>
      </c>
      <c r="T119" s="10" t="s">
        <v>91</v>
      </c>
      <c r="U119" s="16">
        <v>46297</v>
      </c>
      <c r="V119" s="15" t="str">
        <f t="shared" ca="1" si="3"/>
        <v>مغلق</v>
      </c>
    </row>
    <row r="120" spans="1:22" ht="38" hidden="1" customHeight="1" x14ac:dyDescent="0.3">
      <c r="A120" s="15" t="str">
        <f>IF('تحليل الفجوة'!$R120="نعم",COUNTIF('تحليل الفجوة'!$R$4:'تحليل الفجوة'!$R120,"نعم"),"—")</f>
        <v>—</v>
      </c>
      <c r="B120" s="15" t="str">
        <f>'تحليل الفجوة'!$R120</f>
        <v>لا</v>
      </c>
      <c r="C120" s="17" t="str">
        <f>IF($B120="لا","",'تحليل الفجوة'!$B120)</f>
        <v/>
      </c>
      <c r="D120" s="17" t="str">
        <f>IF($B120="لا","",'تحليل الفجوة'!$C120)</f>
        <v/>
      </c>
      <c r="E120" s="18" t="str">
        <f>IF($B120="لا","",'تحليل الفجوة'!$D120)</f>
        <v/>
      </c>
      <c r="F120" s="17" t="str">
        <f>IF($B120="لا","",'تحليل الفجوة'!$S120)</f>
        <v/>
      </c>
      <c r="G120" s="17" t="str">
        <f>IF($B120="لا","",'تحليل الفجوة'!$J120)</f>
        <v/>
      </c>
      <c r="H120" s="17" t="str">
        <f>IF($B120="لا","",'تحليل الفجوة'!$N120)</f>
        <v/>
      </c>
      <c r="I120" s="17" t="str">
        <f>IF($B120="لا","",'تحليل الفجوة'!$T120)</f>
        <v/>
      </c>
      <c r="J120" s="18" t="str">
        <f>IF($B120="لا","",'تحليل الفجوة'!$O120)</f>
        <v/>
      </c>
      <c r="K120" s="18" t="str">
        <f>IF($B120="لا","",'تحليل الفجوة'!$H120)</f>
        <v/>
      </c>
      <c r="L120" s="19"/>
      <c r="M120" s="19"/>
      <c r="N120" s="19"/>
      <c r="O120" s="19"/>
      <c r="P120" s="19"/>
      <c r="Q120" s="19"/>
      <c r="R120" s="19"/>
      <c r="S120" s="19"/>
      <c r="T120" s="19"/>
      <c r="U120" s="19"/>
      <c r="V120" s="15" t="str">
        <f t="shared" ca="1" si="3"/>
        <v>—</v>
      </c>
    </row>
    <row r="121" spans="1:22" ht="38" customHeight="1" x14ac:dyDescent="0.3">
      <c r="A121" s="15">
        <f>IF('تحليل الفجوة'!$R121="نعم",COUNTIF('تحليل الفجوة'!$R$4:'تحليل الفجوة'!$R121,"نعم"),"—")</f>
        <v>63</v>
      </c>
      <c r="B121" s="15" t="str">
        <f>'تحليل الفجوة'!$R121</f>
        <v>نعم</v>
      </c>
      <c r="C121" s="17" t="str">
        <f>IF($B121="لا","",'تحليل الفجوة'!$B121)</f>
        <v>ISO 10004:2018</v>
      </c>
      <c r="D121" s="17" t="str">
        <f>IF($B121="لا","",'تحليل الفجوة'!$C121)</f>
        <v>4.3.3</v>
      </c>
      <c r="E121" s="18" t="str">
        <f>IF($B121="لا","",'تحليل الفجوة'!$D121)</f>
        <v>الشفافية</v>
      </c>
      <c r="F121" s="17" t="str">
        <f>IF($B121="لا","",'تحليل الفجوة'!$S121)</f>
        <v>تحليل فجوة</v>
      </c>
      <c r="G121" s="17" t="str">
        <f>IF($B121="لا","",'تحليل الفجوة'!$J121)</f>
        <v>غير مطبق</v>
      </c>
      <c r="H121" s="17" t="str">
        <f>IF($B121="لا","",'تحليل الفجوة'!$N121)</f>
        <v>ملاحظة</v>
      </c>
      <c r="I121" s="17" t="str">
        <f>IF($B121="لا","",'تحليل الفجوة'!$T121)</f>
        <v>حرجة</v>
      </c>
      <c r="J121" s="18" t="str">
        <f>IF($B121="لا","",'تحليل الفجوة'!$O121)</f>
        <v>لا يوجد مصدر قياس يسمح بإثبات التطبيق</v>
      </c>
      <c r="K121" s="18" t="str">
        <f>IF($B121="لا","",'تحليل الفجوة'!$H121)</f>
        <v>IMT-ISE-CR-CHT-001</v>
      </c>
      <c r="L121" s="13" t="s">
        <v>679</v>
      </c>
      <c r="M121" s="10" t="s">
        <v>104</v>
      </c>
      <c r="N121" s="10" t="s">
        <v>88</v>
      </c>
      <c r="O121" s="10" t="s">
        <v>79</v>
      </c>
      <c r="P121" s="16">
        <v>46257</v>
      </c>
      <c r="Q121" s="16">
        <v>46347</v>
      </c>
      <c r="R121" s="11" t="s">
        <v>80</v>
      </c>
      <c r="S121" s="11">
        <v>25</v>
      </c>
      <c r="T121" s="10" t="s">
        <v>81</v>
      </c>
      <c r="U121" s="16"/>
      <c r="V121" s="15" t="str">
        <f t="shared" ca="1" si="3"/>
        <v>ضمن المدة</v>
      </c>
    </row>
    <row r="122" spans="1:22" ht="38" customHeight="1" x14ac:dyDescent="0.3">
      <c r="A122" s="15">
        <f>IF('تحليل الفجوة'!$R122="نعم",COUNTIF('تحليل الفجوة'!$R$4:'تحليل الفجوة'!$R122,"نعم"),"—")</f>
        <v>64</v>
      </c>
      <c r="B122" s="15" t="str">
        <f>'تحليل الفجوة'!$R122</f>
        <v>نعم</v>
      </c>
      <c r="C122" s="17" t="str">
        <f>IF($B122="لا","",'تحليل الفجوة'!$B122)</f>
        <v>ISO 10004:2018</v>
      </c>
      <c r="D122" s="17" t="str">
        <f>IF($B122="لا","",'تحليل الفجوة'!$C122)</f>
        <v>4.3.4</v>
      </c>
      <c r="E122" s="18" t="str">
        <f>IF($B122="لا","",'تحليل الفجوة'!$D122)</f>
        <v>سهولة الوصول</v>
      </c>
      <c r="F122" s="17" t="str">
        <f>IF($B122="لا","",'تحليل الفجوة'!$S122)</f>
        <v>تحليل فجوة + تدقيق</v>
      </c>
      <c r="G122" s="17" t="str">
        <f>IF($B122="لا","",'تحليل الفجوة'!$J122)</f>
        <v>غير مطبق</v>
      </c>
      <c r="H122" s="17" t="str">
        <f>IF($B122="لا","",'تحليل الفجوة'!$N122)</f>
        <v>عدم مطابقة صغرى</v>
      </c>
      <c r="I122" s="17" t="str">
        <f>IF($B122="لا","",'تحليل الفجوة'!$T122)</f>
        <v>عالية</v>
      </c>
      <c r="J122" s="18" t="str">
        <f>IF($B122="لا","",'تحليل الفجوة'!$O122)</f>
        <v>البند غير مدرج في أي إجراء معتمد لدى الجهة</v>
      </c>
      <c r="K122" s="18" t="str">
        <f>IF($B122="لا","",'تحليل الفجوة'!$H122)</f>
        <v>IMT-ISE-CR-CHT-001</v>
      </c>
      <c r="L122" s="13" t="s">
        <v>682</v>
      </c>
      <c r="M122" s="10" t="s">
        <v>67</v>
      </c>
      <c r="N122" s="10" t="s">
        <v>88</v>
      </c>
      <c r="O122" s="10" t="s">
        <v>79</v>
      </c>
      <c r="P122" s="16">
        <v>46220</v>
      </c>
      <c r="Q122" s="16">
        <v>46265</v>
      </c>
      <c r="R122" s="11" t="s">
        <v>90</v>
      </c>
      <c r="S122" s="11">
        <v>100</v>
      </c>
      <c r="T122" s="10" t="s">
        <v>91</v>
      </c>
      <c r="U122" s="16">
        <v>46261</v>
      </c>
      <c r="V122" s="15" t="str">
        <f t="shared" ca="1" si="3"/>
        <v>مغلق</v>
      </c>
    </row>
    <row r="123" spans="1:22" ht="38" hidden="1" customHeight="1" x14ac:dyDescent="0.3">
      <c r="A123" s="15" t="str">
        <f>IF('تحليل الفجوة'!$R123="نعم",COUNTIF('تحليل الفجوة'!$R$4:'تحليل الفجوة'!$R123,"نعم"),"—")</f>
        <v>—</v>
      </c>
      <c r="B123" s="15" t="str">
        <f>'تحليل الفجوة'!$R123</f>
        <v>لا</v>
      </c>
      <c r="C123" s="17" t="str">
        <f>IF($B123="لا","",'تحليل الفجوة'!$B123)</f>
        <v/>
      </c>
      <c r="D123" s="17" t="str">
        <f>IF($B123="لا","",'تحليل الفجوة'!$C123)</f>
        <v/>
      </c>
      <c r="E123" s="18" t="str">
        <f>IF($B123="لا","",'تحليل الفجوة'!$D123)</f>
        <v/>
      </c>
      <c r="F123" s="17" t="str">
        <f>IF($B123="لا","",'تحليل الفجوة'!$S123)</f>
        <v/>
      </c>
      <c r="G123" s="17" t="str">
        <f>IF($B123="لا","",'تحليل الفجوة'!$J123)</f>
        <v/>
      </c>
      <c r="H123" s="17" t="str">
        <f>IF($B123="لا","",'تحليل الفجوة'!$N123)</f>
        <v/>
      </c>
      <c r="I123" s="17" t="str">
        <f>IF($B123="لا","",'تحليل الفجوة'!$T123)</f>
        <v/>
      </c>
      <c r="J123" s="18" t="str">
        <f>IF($B123="لا","",'تحليل الفجوة'!$O123)</f>
        <v/>
      </c>
      <c r="K123" s="18" t="str">
        <f>IF($B123="لا","",'تحليل الفجوة'!$H123)</f>
        <v/>
      </c>
      <c r="L123" s="19"/>
      <c r="M123" s="19"/>
      <c r="N123" s="19"/>
      <c r="O123" s="19"/>
      <c r="P123" s="19"/>
      <c r="Q123" s="19"/>
      <c r="R123" s="19"/>
      <c r="S123" s="19"/>
      <c r="T123" s="19"/>
      <c r="U123" s="19"/>
      <c r="V123" s="15" t="str">
        <f t="shared" ca="1" si="3"/>
        <v>—</v>
      </c>
    </row>
    <row r="124" spans="1:22" ht="38" hidden="1" customHeight="1" x14ac:dyDescent="0.3">
      <c r="A124" s="15" t="str">
        <f>IF('تحليل الفجوة'!$R124="نعم",COUNTIF('تحليل الفجوة'!$R$4:'تحليل الفجوة'!$R124,"نعم"),"—")</f>
        <v>—</v>
      </c>
      <c r="B124" s="15" t="str">
        <f>'تحليل الفجوة'!$R124</f>
        <v>لا</v>
      </c>
      <c r="C124" s="17" t="str">
        <f>IF($B124="لا","",'تحليل الفجوة'!$B124)</f>
        <v/>
      </c>
      <c r="D124" s="17" t="str">
        <f>IF($B124="لا","",'تحليل الفجوة'!$C124)</f>
        <v/>
      </c>
      <c r="E124" s="18" t="str">
        <f>IF($B124="لا","",'تحليل الفجوة'!$D124)</f>
        <v/>
      </c>
      <c r="F124" s="17" t="str">
        <f>IF($B124="لا","",'تحليل الفجوة'!$S124)</f>
        <v/>
      </c>
      <c r="G124" s="17" t="str">
        <f>IF($B124="لا","",'تحليل الفجوة'!$J124)</f>
        <v/>
      </c>
      <c r="H124" s="17" t="str">
        <f>IF($B124="لا","",'تحليل الفجوة'!$N124)</f>
        <v/>
      </c>
      <c r="I124" s="17" t="str">
        <f>IF($B124="لا","",'تحليل الفجوة'!$T124)</f>
        <v/>
      </c>
      <c r="J124" s="18" t="str">
        <f>IF($B124="لا","",'تحليل الفجوة'!$O124)</f>
        <v/>
      </c>
      <c r="K124" s="18" t="str">
        <f>IF($B124="لا","",'تحليل الفجوة'!$H124)</f>
        <v/>
      </c>
      <c r="L124" s="19"/>
      <c r="M124" s="19"/>
      <c r="N124" s="19"/>
      <c r="O124" s="19"/>
      <c r="P124" s="19"/>
      <c r="Q124" s="19"/>
      <c r="R124" s="19"/>
      <c r="S124" s="19"/>
      <c r="T124" s="19"/>
      <c r="U124" s="19"/>
      <c r="V124" s="15" t="str">
        <f t="shared" ca="1" si="3"/>
        <v>—</v>
      </c>
    </row>
    <row r="125" spans="1:22" ht="38" hidden="1" customHeight="1" x14ac:dyDescent="0.3">
      <c r="A125" s="15" t="str">
        <f>IF('تحليل الفجوة'!$R125="نعم",COUNTIF('تحليل الفجوة'!$R$4:'تحليل الفجوة'!$R125,"نعم"),"—")</f>
        <v>—</v>
      </c>
      <c r="B125" s="15" t="str">
        <f>'تحليل الفجوة'!$R125</f>
        <v>لا</v>
      </c>
      <c r="C125" s="17" t="str">
        <f>IF($B125="لا","",'تحليل الفجوة'!$B125)</f>
        <v/>
      </c>
      <c r="D125" s="17" t="str">
        <f>IF($B125="لا","",'تحليل الفجوة'!$C125)</f>
        <v/>
      </c>
      <c r="E125" s="18" t="str">
        <f>IF($B125="لا","",'تحليل الفجوة'!$D125)</f>
        <v/>
      </c>
      <c r="F125" s="17" t="str">
        <f>IF($B125="لا","",'تحليل الفجوة'!$S125)</f>
        <v/>
      </c>
      <c r="G125" s="17" t="str">
        <f>IF($B125="لا","",'تحليل الفجوة'!$J125)</f>
        <v/>
      </c>
      <c r="H125" s="17" t="str">
        <f>IF($B125="لا","",'تحليل الفجوة'!$N125)</f>
        <v/>
      </c>
      <c r="I125" s="17" t="str">
        <f>IF($B125="لا","",'تحليل الفجوة'!$T125)</f>
        <v/>
      </c>
      <c r="J125" s="18" t="str">
        <f>IF($B125="لا","",'تحليل الفجوة'!$O125)</f>
        <v/>
      </c>
      <c r="K125" s="18" t="str">
        <f>IF($B125="لا","",'تحليل الفجوة'!$H125)</f>
        <v/>
      </c>
      <c r="L125" s="19"/>
      <c r="M125" s="19"/>
      <c r="N125" s="19"/>
      <c r="O125" s="19"/>
      <c r="P125" s="19"/>
      <c r="Q125" s="19"/>
      <c r="R125" s="19"/>
      <c r="S125" s="19"/>
      <c r="T125" s="19"/>
      <c r="U125" s="19"/>
      <c r="V125" s="15" t="str">
        <f t="shared" ca="1" si="3"/>
        <v>—</v>
      </c>
    </row>
    <row r="126" spans="1:22" ht="38" hidden="1" customHeight="1" x14ac:dyDescent="0.3">
      <c r="A126" s="15" t="str">
        <f>IF('تحليل الفجوة'!$R126="نعم",COUNTIF('تحليل الفجوة'!$R$4:'تحليل الفجوة'!$R126,"نعم"),"—")</f>
        <v>—</v>
      </c>
      <c r="B126" s="15" t="str">
        <f>'تحليل الفجوة'!$R126</f>
        <v>لا</v>
      </c>
      <c r="C126" s="17" t="str">
        <f>IF($B126="لا","",'تحليل الفجوة'!$B126)</f>
        <v/>
      </c>
      <c r="D126" s="17" t="str">
        <f>IF($B126="لا","",'تحليل الفجوة'!$C126)</f>
        <v/>
      </c>
      <c r="E126" s="18" t="str">
        <f>IF($B126="لا","",'تحليل الفجوة'!$D126)</f>
        <v/>
      </c>
      <c r="F126" s="17" t="str">
        <f>IF($B126="لا","",'تحليل الفجوة'!$S126)</f>
        <v/>
      </c>
      <c r="G126" s="17" t="str">
        <f>IF($B126="لا","",'تحليل الفجوة'!$J126)</f>
        <v/>
      </c>
      <c r="H126" s="17" t="str">
        <f>IF($B126="لا","",'تحليل الفجوة'!$N126)</f>
        <v/>
      </c>
      <c r="I126" s="17" t="str">
        <f>IF($B126="لا","",'تحليل الفجوة'!$T126)</f>
        <v/>
      </c>
      <c r="J126" s="18" t="str">
        <f>IF($B126="لا","",'تحليل الفجوة'!$O126)</f>
        <v/>
      </c>
      <c r="K126" s="18" t="str">
        <f>IF($B126="لا","",'تحليل الفجوة'!$H126)</f>
        <v/>
      </c>
      <c r="L126" s="19"/>
      <c r="M126" s="19"/>
      <c r="N126" s="19"/>
      <c r="O126" s="19"/>
      <c r="P126" s="19"/>
      <c r="Q126" s="19"/>
      <c r="R126" s="19"/>
      <c r="S126" s="19"/>
      <c r="T126" s="19"/>
      <c r="U126" s="19"/>
      <c r="V126" s="15" t="str">
        <f t="shared" ca="1" si="3"/>
        <v>—</v>
      </c>
    </row>
    <row r="127" spans="1:22" ht="38" customHeight="1" x14ac:dyDescent="0.3">
      <c r="A127" s="15">
        <f>IF('تحليل الفجوة'!$R127="نعم",COUNTIF('تحليل الفجوة'!$R$4:'تحليل الفجوة'!$R127,"نعم"),"—")</f>
        <v>65</v>
      </c>
      <c r="B127" s="15" t="str">
        <f>'تحليل الفجوة'!$R127</f>
        <v>نعم</v>
      </c>
      <c r="C127" s="17" t="str">
        <f>IF($B127="لا","",'تحليل الفجوة'!$B127)</f>
        <v>ISO 10004:2018</v>
      </c>
      <c r="D127" s="17" t="str">
        <f>IF($B127="لا","",'تحليل الفجوة'!$C127)</f>
        <v>4.3.9</v>
      </c>
      <c r="E127" s="18" t="str">
        <f>IF($B127="لا","",'تحليل الفجوة'!$D127)</f>
        <v>السرية</v>
      </c>
      <c r="F127" s="17" t="str">
        <f>IF($B127="لا","",'تحليل الفجوة'!$S127)</f>
        <v>تحليل فجوة</v>
      </c>
      <c r="G127" s="17" t="str">
        <f>IF($B127="لا","",'تحليل الفجوة'!$J127)</f>
        <v>غير مطبق</v>
      </c>
      <c r="H127" s="17" t="str">
        <f>IF($B127="لا","",'تحليل الفجوة'!$N127)</f>
        <v>ملاحظة</v>
      </c>
      <c r="I127" s="17" t="str">
        <f>IF($B127="لا","",'تحليل الفجوة'!$T127)</f>
        <v>عالية</v>
      </c>
      <c r="J127" s="18" t="str">
        <f>IF($B127="لا","",'تحليل الفجوة'!$O127)</f>
        <v>لم تُعرَّف الأدوار والمسؤوليات لهذا البند</v>
      </c>
      <c r="K127" s="18" t="str">
        <f>IF($B127="لا","",'تحليل الفجوة'!$H127)</f>
        <v>IMT-ISE-CR-CHT-001</v>
      </c>
      <c r="L127" s="13" t="s">
        <v>679</v>
      </c>
      <c r="M127" s="10" t="s">
        <v>104</v>
      </c>
      <c r="N127" s="10" t="s">
        <v>114</v>
      </c>
      <c r="O127" s="10" t="s">
        <v>69</v>
      </c>
      <c r="P127" s="16">
        <v>46231</v>
      </c>
      <c r="Q127" s="16">
        <v>46321</v>
      </c>
      <c r="R127" s="11" t="s">
        <v>107</v>
      </c>
      <c r="S127" s="11">
        <v>0</v>
      </c>
      <c r="T127" s="10" t="s">
        <v>71</v>
      </c>
      <c r="U127" s="16"/>
      <c r="V127" s="15" t="str">
        <f t="shared" ca="1" si="3"/>
        <v>ضمن المدة</v>
      </c>
    </row>
    <row r="128" spans="1:22" ht="38" hidden="1" customHeight="1" x14ac:dyDescent="0.3">
      <c r="A128" s="15" t="str">
        <f>IF('تحليل الفجوة'!$R128="نعم",COUNTIF('تحليل الفجوة'!$R$4:'تحليل الفجوة'!$R128,"نعم"),"—")</f>
        <v>—</v>
      </c>
      <c r="B128" s="15" t="str">
        <f>'تحليل الفجوة'!$R128</f>
        <v>لا</v>
      </c>
      <c r="C128" s="17" t="str">
        <f>IF($B128="لا","",'تحليل الفجوة'!$B128)</f>
        <v/>
      </c>
      <c r="D128" s="17" t="str">
        <f>IF($B128="لا","",'تحليل الفجوة'!$C128)</f>
        <v/>
      </c>
      <c r="E128" s="18" t="str">
        <f>IF($B128="لا","",'تحليل الفجوة'!$D128)</f>
        <v/>
      </c>
      <c r="F128" s="17" t="str">
        <f>IF($B128="لا","",'تحليل الفجوة'!$S128)</f>
        <v/>
      </c>
      <c r="G128" s="17" t="str">
        <f>IF($B128="لا","",'تحليل الفجوة'!$J128)</f>
        <v/>
      </c>
      <c r="H128" s="17" t="str">
        <f>IF($B128="لا","",'تحليل الفجوة'!$N128)</f>
        <v/>
      </c>
      <c r="I128" s="17" t="str">
        <f>IF($B128="لا","",'تحليل الفجوة'!$T128)</f>
        <v/>
      </c>
      <c r="J128" s="18" t="str">
        <f>IF($B128="لا","",'تحليل الفجوة'!$O128)</f>
        <v/>
      </c>
      <c r="K128" s="18" t="str">
        <f>IF($B128="لا","",'تحليل الفجوة'!$H128)</f>
        <v/>
      </c>
      <c r="L128" s="19"/>
      <c r="M128" s="19"/>
      <c r="N128" s="19"/>
      <c r="O128" s="19"/>
      <c r="P128" s="19"/>
      <c r="Q128" s="19"/>
      <c r="R128" s="19"/>
      <c r="S128" s="19"/>
      <c r="T128" s="19"/>
      <c r="U128" s="19"/>
      <c r="V128" s="15" t="str">
        <f t="shared" ca="1" si="3"/>
        <v>—</v>
      </c>
    </row>
    <row r="129" spans="1:22" ht="38" hidden="1" customHeight="1" x14ac:dyDescent="0.3">
      <c r="A129" s="15" t="str">
        <f>IF('تحليل الفجوة'!$R129="نعم",COUNTIF('تحليل الفجوة'!$R$4:'تحليل الفجوة'!$R129,"نعم"),"—")</f>
        <v>—</v>
      </c>
      <c r="B129" s="15" t="str">
        <f>'تحليل الفجوة'!$R129</f>
        <v>لا</v>
      </c>
      <c r="C129" s="17" t="str">
        <f>IF($B129="لا","",'تحليل الفجوة'!$B129)</f>
        <v/>
      </c>
      <c r="D129" s="17" t="str">
        <f>IF($B129="لا","",'تحليل الفجوة'!$C129)</f>
        <v/>
      </c>
      <c r="E129" s="18" t="str">
        <f>IF($B129="لا","",'تحليل الفجوة'!$D129)</f>
        <v/>
      </c>
      <c r="F129" s="17" t="str">
        <f>IF($B129="لا","",'تحليل الفجوة'!$S129)</f>
        <v/>
      </c>
      <c r="G129" s="17" t="str">
        <f>IF($B129="لا","",'تحليل الفجوة'!$J129)</f>
        <v/>
      </c>
      <c r="H129" s="17" t="str">
        <f>IF($B129="لا","",'تحليل الفجوة'!$N129)</f>
        <v/>
      </c>
      <c r="I129" s="17" t="str">
        <f>IF($B129="لا","",'تحليل الفجوة'!$T129)</f>
        <v/>
      </c>
      <c r="J129" s="18" t="str">
        <f>IF($B129="لا","",'تحليل الفجوة'!$O129)</f>
        <v/>
      </c>
      <c r="K129" s="18" t="str">
        <f>IF($B129="لا","",'تحليل الفجوة'!$H129)</f>
        <v/>
      </c>
      <c r="L129" s="19"/>
      <c r="M129" s="19"/>
      <c r="N129" s="19"/>
      <c r="O129" s="19"/>
      <c r="P129" s="19"/>
      <c r="Q129" s="19"/>
      <c r="R129" s="19"/>
      <c r="S129" s="19"/>
      <c r="T129" s="19"/>
      <c r="U129" s="19"/>
      <c r="V129" s="15" t="str">
        <f t="shared" ca="1" si="3"/>
        <v>—</v>
      </c>
    </row>
    <row r="130" spans="1:22" ht="38" customHeight="1" x14ac:dyDescent="0.3">
      <c r="A130" s="15">
        <f>IF('تحليل الفجوة'!$R130="نعم",COUNTIF('تحليل الفجوة'!$R$4:'تحليل الفجوة'!$R130,"نعم"),"—")</f>
        <v>66</v>
      </c>
      <c r="B130" s="15" t="str">
        <f>'تحليل الفجوة'!$R130</f>
        <v>نعم</v>
      </c>
      <c r="C130" s="17" t="str">
        <f>IF($B130="لا","",'تحليل الفجوة'!$B130)</f>
        <v>ISO 10004:2018</v>
      </c>
      <c r="D130" s="17" t="str">
        <f>IF($B130="لا","",'تحليل الفجوة'!$C130)</f>
        <v>4.3.12</v>
      </c>
      <c r="E130" s="18" t="str">
        <f>IF($B130="لا","",'تحليل الفجوة'!$D130)</f>
        <v>التوقيت المناسب</v>
      </c>
      <c r="F130" s="17" t="str">
        <f>IF($B130="لا","",'تحليل الفجوة'!$S130)</f>
        <v>تحليل فجوة</v>
      </c>
      <c r="G130" s="17" t="str">
        <f>IF($B130="لا","",'تحليل الفجوة'!$J130)</f>
        <v>مطبق جزئياً</v>
      </c>
      <c r="H130" s="17" t="str">
        <f>IF($B130="لا","",'تحليل الفجوة'!$N130)</f>
        <v>ملاحظة</v>
      </c>
      <c r="I130" s="17" t="str">
        <f>IF($B130="لا","",'تحليل الفجوة'!$T130)</f>
        <v>عالية</v>
      </c>
      <c r="J130" s="18" t="str">
        <f>IF($B130="لا","",'تحليل الفجوة'!$O130)</f>
        <v>الوثيقة موجودة والسجل غير مفعَّل — الفجوة في التشغيل لا في التوثيق</v>
      </c>
      <c r="K130" s="18" t="str">
        <f>IF($B130="لا","",'تحليل الفجوة'!$H130)</f>
        <v>IMT-ISE-CR-CHT-001</v>
      </c>
      <c r="L130" s="13" t="s">
        <v>677</v>
      </c>
      <c r="M130" s="10" t="s">
        <v>87</v>
      </c>
      <c r="N130" s="10" t="s">
        <v>88</v>
      </c>
      <c r="O130" s="10" t="s">
        <v>79</v>
      </c>
      <c r="P130" s="16">
        <v>46222</v>
      </c>
      <c r="Q130" s="16">
        <v>46262</v>
      </c>
      <c r="R130" s="11" t="s">
        <v>90</v>
      </c>
      <c r="S130" s="11">
        <v>100</v>
      </c>
      <c r="T130" s="10" t="s">
        <v>91</v>
      </c>
      <c r="U130" s="16">
        <v>46259</v>
      </c>
      <c r="V130" s="15" t="str">
        <f t="shared" ca="1" si="3"/>
        <v>مغلق</v>
      </c>
    </row>
    <row r="131" spans="1:22" ht="38" customHeight="1" x14ac:dyDescent="0.3">
      <c r="A131" s="15">
        <f>IF('تحليل الفجوة'!$R131="نعم",COUNTIF('تحليل الفجوة'!$R$4:'تحليل الفجوة'!$R131,"نعم"),"—")</f>
        <v>67</v>
      </c>
      <c r="B131" s="15" t="str">
        <f>'تحليل الفجوة'!$R131</f>
        <v>نعم</v>
      </c>
      <c r="C131" s="17" t="str">
        <f>IF($B131="لا","",'تحليل الفجوة'!$B131)</f>
        <v>ISO 10004:2018</v>
      </c>
      <c r="D131" s="17" t="str">
        <f>IF($B131="لا","",'تحليل الفجوة'!$C131)</f>
        <v>4.3.13</v>
      </c>
      <c r="E131" s="18" t="str">
        <f>IF($B131="لا","",'تحليل الفجوة'!$D131)</f>
        <v>الفهم الكامل للتوقعات</v>
      </c>
      <c r="F131" s="17" t="str">
        <f>IF($B131="لا","",'تحليل الفجوة'!$S131)</f>
        <v>تحليل فجوة</v>
      </c>
      <c r="G131" s="17" t="str">
        <f>IF($B131="لا","",'تحليل الفجوة'!$J131)</f>
        <v>مطبق جزئياً</v>
      </c>
      <c r="H131" s="17" t="str">
        <f>IF($B131="لا","",'تحليل الفجوة'!$N131)</f>
        <v>ملاحظة</v>
      </c>
      <c r="I131" s="17" t="str">
        <f>IF($B131="لا","",'تحليل الفجوة'!$T131)</f>
        <v>متوسطة</v>
      </c>
      <c r="J131" s="18" t="str">
        <f>IF($B131="لا","",'تحليل الفجوة'!$O131)</f>
        <v>الوثيقة موجودة والسجل غير مفعَّل — الفجوة في التشغيل لا في التوثيق</v>
      </c>
      <c r="K131" s="18" t="str">
        <f>IF($B131="لا","",'تحليل الفجوة'!$H131)</f>
        <v>IMT-ISE-CR-CHT-001</v>
      </c>
      <c r="L131" s="13" t="s">
        <v>677</v>
      </c>
      <c r="M131" s="10" t="s">
        <v>87</v>
      </c>
      <c r="N131" s="10" t="s">
        <v>114</v>
      </c>
      <c r="O131" s="10" t="s">
        <v>112</v>
      </c>
      <c r="P131" s="16">
        <v>46242</v>
      </c>
      <c r="Q131" s="16">
        <v>46282</v>
      </c>
      <c r="R131" s="11" t="s">
        <v>80</v>
      </c>
      <c r="S131" s="11">
        <v>25</v>
      </c>
      <c r="T131" s="10" t="s">
        <v>81</v>
      </c>
      <c r="U131" s="16"/>
      <c r="V131" s="15" t="str">
        <f t="shared" ca="1" si="3"/>
        <v>ضمن المدة</v>
      </c>
    </row>
    <row r="132" spans="1:22" ht="38" customHeight="1" x14ac:dyDescent="0.3">
      <c r="A132" s="15">
        <f>IF('تحليل الفجوة'!$R132="نعم",COUNTIF('تحليل الفجوة'!$R$4:'تحليل الفجوة'!$R132,"نعم"),"—")</f>
        <v>68</v>
      </c>
      <c r="B132" s="15" t="str">
        <f>'تحليل الفجوة'!$R132</f>
        <v>نعم</v>
      </c>
      <c r="C132" s="17" t="str">
        <f>IF($B132="لا","",'تحليل الفجوة'!$B132)</f>
        <v>ISO 10004:2018</v>
      </c>
      <c r="D132" s="17" t="str">
        <f>IF($B132="لا","",'تحليل الفجوة'!$C132)</f>
        <v>4.3.14</v>
      </c>
      <c r="E132" s="18" t="str">
        <f>IF($B132="لا","",'تحليل الفجوة'!$D132)</f>
        <v>استمرارية القياس</v>
      </c>
      <c r="F132" s="17" t="str">
        <f>IF($B132="لا","",'تحليل الفجوة'!$S132)</f>
        <v>تحليل فجوة + تدقيق</v>
      </c>
      <c r="G132" s="17" t="str">
        <f>IF($B132="لا","",'تحليل الفجوة'!$J132)</f>
        <v>غير مطبق</v>
      </c>
      <c r="H132" s="17" t="str">
        <f>IF($B132="لا","",'تحليل الفجوة'!$N132)</f>
        <v>عدم مطابقة صغرى</v>
      </c>
      <c r="I132" s="17" t="str">
        <f>IF($B132="لا","",'تحليل الفجوة'!$T132)</f>
        <v>حرجة</v>
      </c>
      <c r="J132" s="18" t="str">
        <f>IF($B132="لا","",'تحليل الفجوة'!$O132)</f>
        <v>غياب كامل للبند — لا وثيقة ولا سجل ولا مالك</v>
      </c>
      <c r="K132" s="18" t="str">
        <f>IF($B132="لا","",'تحليل الفجوة'!$H132)</f>
        <v>IMT-ISE-CR-CHT-001</v>
      </c>
      <c r="L132" s="13" t="s">
        <v>680</v>
      </c>
      <c r="M132" s="10" t="s">
        <v>77</v>
      </c>
      <c r="N132" s="10" t="s">
        <v>105</v>
      </c>
      <c r="O132" s="10" t="s">
        <v>112</v>
      </c>
      <c r="P132" s="16">
        <v>46235</v>
      </c>
      <c r="Q132" s="16">
        <v>46310</v>
      </c>
      <c r="R132" s="11" t="s">
        <v>90</v>
      </c>
      <c r="S132" s="11">
        <v>100</v>
      </c>
      <c r="T132" s="10" t="s">
        <v>91</v>
      </c>
      <c r="U132" s="16">
        <v>46309</v>
      </c>
      <c r="V132" s="15" t="str">
        <f t="shared" ref="V132:V164" ca="1" si="4">IF($B132="لا","—",IF($R132="مكتمل","مغلق",IF($Q132="","—",IF($Q132&lt;TODAY(),"متأخر","ضمن المدة"))))</f>
        <v>مغلق</v>
      </c>
    </row>
    <row r="133" spans="1:22" ht="38" customHeight="1" x14ac:dyDescent="0.3">
      <c r="A133" s="15">
        <f>IF('تحليل الفجوة'!$R133="نعم",COUNTIF('تحليل الفجوة'!$R$4:'تحليل الفجوة'!$R133,"نعم"),"—")</f>
        <v>69</v>
      </c>
      <c r="B133" s="15" t="str">
        <f>'تحليل الفجوة'!$R133</f>
        <v>نعم</v>
      </c>
      <c r="C133" s="17" t="str">
        <f>IF($B133="لا","",'تحليل الفجوة'!$B133)</f>
        <v>ISO 10004:2018</v>
      </c>
      <c r="D133" s="17" t="str">
        <f>IF($B133="لا","",'تحليل الفجوة'!$C133)</f>
        <v>5.1</v>
      </c>
      <c r="E133" s="18" t="str">
        <f>IF($B133="لا","",'تحليل الفجوة'!$D133)</f>
        <v>سياق المنظمة</v>
      </c>
      <c r="F133" s="17" t="str">
        <f>IF($B133="لا","",'تحليل الفجوة'!$S133)</f>
        <v>تحليل فجوة + تدقيق</v>
      </c>
      <c r="G133" s="17" t="str">
        <f>IF($B133="لا","",'تحليل الفجوة'!$J133)</f>
        <v>مطبق جزئياً</v>
      </c>
      <c r="H133" s="17" t="str">
        <f>IF($B133="لا","",'تحليل الفجوة'!$N133)</f>
        <v>عدم مطابقة صغرى</v>
      </c>
      <c r="I133" s="17" t="str">
        <f>IF($B133="لا","",'تحليل الفجوة'!$T133)</f>
        <v>عالية</v>
      </c>
      <c r="J133" s="18" t="str">
        <f>IF($B133="لا","",'تحليل الفجوة'!$O133)</f>
        <v>الدورية غير منضبطة ولا يوجد تذكير أو مالك للمتابعة</v>
      </c>
      <c r="K133" s="18" t="str">
        <f>IF($B133="لا","",'تحليل الفجوة'!$H133)</f>
        <v>IMT-ISE-CR-PRO-001</v>
      </c>
      <c r="L133" s="13" t="s">
        <v>682</v>
      </c>
      <c r="M133" s="10" t="s">
        <v>67</v>
      </c>
      <c r="N133" s="10" t="s">
        <v>114</v>
      </c>
      <c r="O133" s="10" t="s">
        <v>112</v>
      </c>
      <c r="P133" s="16">
        <v>46246</v>
      </c>
      <c r="Q133" s="16">
        <v>46291</v>
      </c>
      <c r="R133" s="11" t="s">
        <v>90</v>
      </c>
      <c r="S133" s="11">
        <v>100</v>
      </c>
      <c r="T133" s="10" t="s">
        <v>91</v>
      </c>
      <c r="U133" s="16">
        <v>46288</v>
      </c>
      <c r="V133" s="15" t="str">
        <f t="shared" ca="1" si="4"/>
        <v>مغلق</v>
      </c>
    </row>
    <row r="134" spans="1:22" ht="38" hidden="1" customHeight="1" x14ac:dyDescent="0.3">
      <c r="A134" s="15" t="str">
        <f>IF('تحليل الفجوة'!$R134="نعم",COUNTIF('تحليل الفجوة'!$R$4:'تحليل الفجوة'!$R134,"نعم"),"—")</f>
        <v>—</v>
      </c>
      <c r="B134" s="15" t="str">
        <f>'تحليل الفجوة'!$R134</f>
        <v>لا</v>
      </c>
      <c r="C134" s="17" t="str">
        <f>IF($B134="لا","",'تحليل الفجوة'!$B134)</f>
        <v/>
      </c>
      <c r="D134" s="17" t="str">
        <f>IF($B134="لا","",'تحليل الفجوة'!$C134)</f>
        <v/>
      </c>
      <c r="E134" s="18" t="str">
        <f>IF($B134="لا","",'تحليل الفجوة'!$D134)</f>
        <v/>
      </c>
      <c r="F134" s="17" t="str">
        <f>IF($B134="لا","",'تحليل الفجوة'!$S134)</f>
        <v/>
      </c>
      <c r="G134" s="17" t="str">
        <f>IF($B134="لا","",'تحليل الفجوة'!$J134)</f>
        <v/>
      </c>
      <c r="H134" s="17" t="str">
        <f>IF($B134="لا","",'تحليل الفجوة'!$N134)</f>
        <v/>
      </c>
      <c r="I134" s="17" t="str">
        <f>IF($B134="لا","",'تحليل الفجوة'!$T134)</f>
        <v/>
      </c>
      <c r="J134" s="18" t="str">
        <f>IF($B134="لا","",'تحليل الفجوة'!$O134)</f>
        <v/>
      </c>
      <c r="K134" s="18" t="str">
        <f>IF($B134="لا","",'تحليل الفجوة'!$H134)</f>
        <v/>
      </c>
      <c r="L134" s="19"/>
      <c r="M134" s="19"/>
      <c r="N134" s="19"/>
      <c r="O134" s="19"/>
      <c r="P134" s="19"/>
      <c r="Q134" s="19"/>
      <c r="R134" s="19"/>
      <c r="S134" s="19"/>
      <c r="T134" s="19"/>
      <c r="U134" s="19"/>
      <c r="V134" s="15" t="str">
        <f t="shared" ca="1" si="4"/>
        <v>—</v>
      </c>
    </row>
    <row r="135" spans="1:22" ht="38" hidden="1" customHeight="1" x14ac:dyDescent="0.3">
      <c r="A135" s="15" t="str">
        <f>IF('تحليل الفجوة'!$R135="نعم",COUNTIF('تحليل الفجوة'!$R$4:'تحليل الفجوة'!$R135,"نعم"),"—")</f>
        <v>—</v>
      </c>
      <c r="B135" s="15" t="str">
        <f>'تحليل الفجوة'!$R135</f>
        <v>لا</v>
      </c>
      <c r="C135" s="17" t="str">
        <f>IF($B135="لا","",'تحليل الفجوة'!$B135)</f>
        <v/>
      </c>
      <c r="D135" s="17" t="str">
        <f>IF($B135="لا","",'تحليل الفجوة'!$C135)</f>
        <v/>
      </c>
      <c r="E135" s="18" t="str">
        <f>IF($B135="لا","",'تحليل الفجوة'!$D135)</f>
        <v/>
      </c>
      <c r="F135" s="17" t="str">
        <f>IF($B135="لا","",'تحليل الفجوة'!$S135)</f>
        <v/>
      </c>
      <c r="G135" s="17" t="str">
        <f>IF($B135="لا","",'تحليل الفجوة'!$J135)</f>
        <v/>
      </c>
      <c r="H135" s="17" t="str">
        <f>IF($B135="لا","",'تحليل الفجوة'!$N135)</f>
        <v/>
      </c>
      <c r="I135" s="17" t="str">
        <f>IF($B135="لا","",'تحليل الفجوة'!$T135)</f>
        <v/>
      </c>
      <c r="J135" s="18" t="str">
        <f>IF($B135="لا","",'تحليل الفجوة'!$O135)</f>
        <v/>
      </c>
      <c r="K135" s="18" t="str">
        <f>IF($B135="لا","",'تحليل الفجوة'!$H135)</f>
        <v/>
      </c>
      <c r="L135" s="19"/>
      <c r="M135" s="19"/>
      <c r="N135" s="19"/>
      <c r="O135" s="19"/>
      <c r="P135" s="19"/>
      <c r="Q135" s="19"/>
      <c r="R135" s="19"/>
      <c r="S135" s="19"/>
      <c r="T135" s="19"/>
      <c r="U135" s="19"/>
      <c r="V135" s="15" t="str">
        <f t="shared" ca="1" si="4"/>
        <v>—</v>
      </c>
    </row>
    <row r="136" spans="1:22" ht="38" customHeight="1" x14ac:dyDescent="0.3">
      <c r="A136" s="15">
        <f>IF('تحليل الفجوة'!$R136="نعم",COUNTIF('تحليل الفجوة'!$R$4:'تحليل الفجوة'!$R136,"نعم"),"—")</f>
        <v>70</v>
      </c>
      <c r="B136" s="15" t="str">
        <f>'تحليل الفجوة'!$R136</f>
        <v>نعم</v>
      </c>
      <c r="C136" s="17" t="str">
        <f>IF($B136="لا","",'تحليل الفجوة'!$B136)</f>
        <v>ISO 10004:2018</v>
      </c>
      <c r="D136" s="17" t="str">
        <f>IF($B136="لا","",'تحليل الفجوة'!$C136)</f>
        <v>6.2</v>
      </c>
      <c r="E136" s="18" t="str">
        <f>IF($B136="لا","",'تحليل الفجوة'!$D136)</f>
        <v>تحديد النطاق والتكرار</v>
      </c>
      <c r="F136" s="17" t="str">
        <f>IF($B136="لا","",'تحليل الفجوة'!$S136)</f>
        <v>تحليل فجوة + تدقيق</v>
      </c>
      <c r="G136" s="17" t="str">
        <f>IF($B136="لا","",'تحليل الفجوة'!$J136)</f>
        <v>مطبق جزئياً</v>
      </c>
      <c r="H136" s="17" t="str">
        <f>IF($B136="لا","",'تحليل الفجوة'!$N136)</f>
        <v>عدم مطابقة صغرى</v>
      </c>
      <c r="I136" s="17" t="str">
        <f>IF($B136="لا","",'تحليل الفجوة'!$T136)</f>
        <v>عالية</v>
      </c>
      <c r="J136" s="18" t="str">
        <f>IF($B136="لا","",'تحليل الفجوة'!$O136)</f>
        <v>الدورية غير منضبطة ولا يوجد تذكير أو مالك للمتابعة</v>
      </c>
      <c r="K136" s="18" t="str">
        <f>IF($B136="لا","",'تحليل الفجوة'!$H136)</f>
        <v>IMT-ISE-CS-PRO-001</v>
      </c>
      <c r="L136" s="13" t="s">
        <v>682</v>
      </c>
      <c r="M136" s="10" t="s">
        <v>67</v>
      </c>
      <c r="N136" s="10" t="s">
        <v>105</v>
      </c>
      <c r="O136" s="10" t="s">
        <v>98</v>
      </c>
      <c r="P136" s="16">
        <v>46255</v>
      </c>
      <c r="Q136" s="16">
        <v>46300</v>
      </c>
      <c r="R136" s="11" t="s">
        <v>90</v>
      </c>
      <c r="S136" s="11">
        <v>100</v>
      </c>
      <c r="T136" s="10" t="s">
        <v>91</v>
      </c>
      <c r="U136" s="16">
        <v>46295</v>
      </c>
      <c r="V136" s="15" t="str">
        <f t="shared" ca="1" si="4"/>
        <v>مغلق</v>
      </c>
    </row>
    <row r="137" spans="1:22" ht="38" hidden="1" customHeight="1" x14ac:dyDescent="0.3">
      <c r="A137" s="15" t="str">
        <f>IF('تحليل الفجوة'!$R137="نعم",COUNTIF('تحليل الفجوة'!$R$4:'تحليل الفجوة'!$R137,"نعم"),"—")</f>
        <v>—</v>
      </c>
      <c r="B137" s="15" t="str">
        <f>'تحليل الفجوة'!$R137</f>
        <v>لا</v>
      </c>
      <c r="C137" s="17" t="str">
        <f>IF($B137="لا","",'تحليل الفجوة'!$B137)</f>
        <v/>
      </c>
      <c r="D137" s="17" t="str">
        <f>IF($B137="لا","",'تحليل الفجوة'!$C137)</f>
        <v/>
      </c>
      <c r="E137" s="18" t="str">
        <f>IF($B137="لا","",'تحليل الفجوة'!$D137)</f>
        <v/>
      </c>
      <c r="F137" s="17" t="str">
        <f>IF($B137="لا","",'تحليل الفجوة'!$S137)</f>
        <v/>
      </c>
      <c r="G137" s="17" t="str">
        <f>IF($B137="لا","",'تحليل الفجوة'!$J137)</f>
        <v/>
      </c>
      <c r="H137" s="17" t="str">
        <f>IF($B137="لا","",'تحليل الفجوة'!$N137)</f>
        <v/>
      </c>
      <c r="I137" s="17" t="str">
        <f>IF($B137="لا","",'تحليل الفجوة'!$T137)</f>
        <v/>
      </c>
      <c r="J137" s="18" t="str">
        <f>IF($B137="لا","",'تحليل الفجوة'!$O137)</f>
        <v/>
      </c>
      <c r="K137" s="18" t="str">
        <f>IF($B137="لا","",'تحليل الفجوة'!$H137)</f>
        <v/>
      </c>
      <c r="L137" s="19"/>
      <c r="M137" s="19"/>
      <c r="N137" s="19"/>
      <c r="O137" s="19"/>
      <c r="P137" s="19"/>
      <c r="Q137" s="19"/>
      <c r="R137" s="19"/>
      <c r="S137" s="19"/>
      <c r="T137" s="19"/>
      <c r="U137" s="19"/>
      <c r="V137" s="15" t="str">
        <f t="shared" ca="1" si="4"/>
        <v>—</v>
      </c>
    </row>
    <row r="138" spans="1:22" ht="38" hidden="1" customHeight="1" x14ac:dyDescent="0.3">
      <c r="A138" s="15" t="str">
        <f>IF('تحليل الفجوة'!$R138="نعم",COUNTIF('تحليل الفجوة'!$R$4:'تحليل الفجوة'!$R138,"نعم"),"—")</f>
        <v>—</v>
      </c>
      <c r="B138" s="15" t="str">
        <f>'تحليل الفجوة'!$R138</f>
        <v>لا</v>
      </c>
      <c r="C138" s="17" t="str">
        <f>IF($B138="لا","",'تحليل الفجوة'!$B138)</f>
        <v/>
      </c>
      <c r="D138" s="17" t="str">
        <f>IF($B138="لا","",'تحليل الفجوة'!$C138)</f>
        <v/>
      </c>
      <c r="E138" s="18" t="str">
        <f>IF($B138="لا","",'تحليل الفجوة'!$D138)</f>
        <v/>
      </c>
      <c r="F138" s="17" t="str">
        <f>IF($B138="لا","",'تحليل الفجوة'!$S138)</f>
        <v/>
      </c>
      <c r="G138" s="17" t="str">
        <f>IF($B138="لا","",'تحليل الفجوة'!$J138)</f>
        <v/>
      </c>
      <c r="H138" s="17" t="str">
        <f>IF($B138="لا","",'تحليل الفجوة'!$N138)</f>
        <v/>
      </c>
      <c r="I138" s="17" t="str">
        <f>IF($B138="لا","",'تحليل الفجوة'!$T138)</f>
        <v/>
      </c>
      <c r="J138" s="18" t="str">
        <f>IF($B138="لا","",'تحليل الفجوة'!$O138)</f>
        <v/>
      </c>
      <c r="K138" s="18" t="str">
        <f>IF($B138="لا","",'تحليل الفجوة'!$H138)</f>
        <v/>
      </c>
      <c r="L138" s="19"/>
      <c r="M138" s="19"/>
      <c r="N138" s="19"/>
      <c r="O138" s="19"/>
      <c r="P138" s="19"/>
      <c r="Q138" s="19"/>
      <c r="R138" s="19"/>
      <c r="S138" s="19"/>
      <c r="T138" s="19"/>
      <c r="U138" s="19"/>
      <c r="V138" s="15" t="str">
        <f t="shared" ca="1" si="4"/>
        <v>—</v>
      </c>
    </row>
    <row r="139" spans="1:22" ht="38" hidden="1" customHeight="1" x14ac:dyDescent="0.3">
      <c r="A139" s="15" t="str">
        <f>IF('تحليل الفجوة'!$R139="نعم",COUNTIF('تحليل الفجوة'!$R$4:'تحليل الفجوة'!$R139,"نعم"),"—")</f>
        <v>—</v>
      </c>
      <c r="B139" s="15" t="str">
        <f>'تحليل الفجوة'!$R139</f>
        <v>لا</v>
      </c>
      <c r="C139" s="17" t="str">
        <f>IF($B139="لا","",'تحليل الفجوة'!$B139)</f>
        <v/>
      </c>
      <c r="D139" s="17" t="str">
        <f>IF($B139="لا","",'تحليل الفجوة'!$C139)</f>
        <v/>
      </c>
      <c r="E139" s="18" t="str">
        <f>IF($B139="لا","",'تحليل الفجوة'!$D139)</f>
        <v/>
      </c>
      <c r="F139" s="17" t="str">
        <f>IF($B139="لا","",'تحليل الفجوة'!$S139)</f>
        <v/>
      </c>
      <c r="G139" s="17" t="str">
        <f>IF($B139="لا","",'تحليل الفجوة'!$J139)</f>
        <v/>
      </c>
      <c r="H139" s="17" t="str">
        <f>IF($B139="لا","",'تحليل الفجوة'!$N139)</f>
        <v/>
      </c>
      <c r="I139" s="17" t="str">
        <f>IF($B139="لا","",'تحليل الفجوة'!$T139)</f>
        <v/>
      </c>
      <c r="J139" s="18" t="str">
        <f>IF($B139="لا","",'تحليل الفجوة'!$O139)</f>
        <v/>
      </c>
      <c r="K139" s="18" t="str">
        <f>IF($B139="لا","",'تحليل الفجوة'!$H139)</f>
        <v/>
      </c>
      <c r="L139" s="19"/>
      <c r="M139" s="19"/>
      <c r="N139" s="19"/>
      <c r="O139" s="19"/>
      <c r="P139" s="19"/>
      <c r="Q139" s="19"/>
      <c r="R139" s="19"/>
      <c r="S139" s="19"/>
      <c r="T139" s="19"/>
      <c r="U139" s="19"/>
      <c r="V139" s="15" t="str">
        <f t="shared" ca="1" si="4"/>
        <v>—</v>
      </c>
    </row>
    <row r="140" spans="1:22" ht="38" customHeight="1" x14ac:dyDescent="0.3">
      <c r="A140" s="15">
        <f>IF('تحليل الفجوة'!$R140="نعم",COUNTIF('تحليل الفجوة'!$R$4:'تحليل الفجوة'!$R140,"نعم"),"—")</f>
        <v>71</v>
      </c>
      <c r="B140" s="15" t="str">
        <f>'تحليل الفجوة'!$R140</f>
        <v>نعم</v>
      </c>
      <c r="C140" s="17" t="str">
        <f>IF($B140="لا","",'تحليل الفجوة'!$B140)</f>
        <v>ISO 10004:2018</v>
      </c>
      <c r="D140" s="17" t="str">
        <f>IF($B140="لا","",'تحليل الفجوة'!$C140)</f>
        <v>7.2.1</v>
      </c>
      <c r="E140" s="18" t="str">
        <f>IF($B140="لا","",'تحليل الفجوة'!$D140)</f>
        <v>تحديد المستفيدين</v>
      </c>
      <c r="F140" s="17" t="str">
        <f>IF($B140="لا","",'تحليل الفجوة'!$S140)</f>
        <v>تحليل فجوة + تدقيق</v>
      </c>
      <c r="G140" s="17" t="str">
        <f>IF($B140="لا","",'تحليل الفجوة'!$J140)</f>
        <v>مطبق جزئياً</v>
      </c>
      <c r="H140" s="17" t="str">
        <f>IF($B140="لا","",'تحليل الفجوة'!$N140)</f>
        <v>عدم مطابقة صغرى</v>
      </c>
      <c r="I140" s="17" t="str">
        <f>IF($B140="لا","",'تحليل الفجوة'!$T140)</f>
        <v>عالية</v>
      </c>
      <c r="J140" s="18" t="str">
        <f>IF($B140="لا","",'تحليل الفجوة'!$O140)</f>
        <v>المخرج لا يُغذّي أي قرار حالياً — يُنتج ثم يُحفظ</v>
      </c>
      <c r="K140" s="18" t="str">
        <f>IF($B140="لا","",'تحليل الفجوة'!$H140)</f>
        <v>IMT-ISE-CS-PRO-001</v>
      </c>
      <c r="L140" s="13" t="s">
        <v>682</v>
      </c>
      <c r="M140" s="10" t="s">
        <v>67</v>
      </c>
      <c r="N140" s="10" t="s">
        <v>105</v>
      </c>
      <c r="O140" s="10" t="s">
        <v>69</v>
      </c>
      <c r="P140" s="16">
        <v>46261</v>
      </c>
      <c r="Q140" s="16">
        <v>46306</v>
      </c>
      <c r="R140" s="11" t="s">
        <v>70</v>
      </c>
      <c r="S140" s="11">
        <v>0</v>
      </c>
      <c r="T140" s="10" t="s">
        <v>71</v>
      </c>
      <c r="U140" s="16"/>
      <c r="V140" s="15" t="str">
        <f t="shared" ca="1" si="4"/>
        <v>ضمن المدة</v>
      </c>
    </row>
    <row r="141" spans="1:22" ht="38" hidden="1" customHeight="1" x14ac:dyDescent="0.3">
      <c r="A141" s="15" t="str">
        <f>IF('تحليل الفجوة'!$R141="نعم",COUNTIF('تحليل الفجوة'!$R$4:'تحليل الفجوة'!$R141,"نعم"),"—")</f>
        <v>—</v>
      </c>
      <c r="B141" s="15" t="str">
        <f>'تحليل الفجوة'!$R141</f>
        <v>لا</v>
      </c>
      <c r="C141" s="17" t="str">
        <f>IF($B141="لا","",'تحليل الفجوة'!$B141)</f>
        <v/>
      </c>
      <c r="D141" s="17" t="str">
        <f>IF($B141="لا","",'تحليل الفجوة'!$C141)</f>
        <v/>
      </c>
      <c r="E141" s="18" t="str">
        <f>IF($B141="لا","",'تحليل الفجوة'!$D141)</f>
        <v/>
      </c>
      <c r="F141" s="17" t="str">
        <f>IF($B141="لا","",'تحليل الفجوة'!$S141)</f>
        <v/>
      </c>
      <c r="G141" s="17" t="str">
        <f>IF($B141="لا","",'تحليل الفجوة'!$J141)</f>
        <v/>
      </c>
      <c r="H141" s="17" t="str">
        <f>IF($B141="لا","",'تحليل الفجوة'!$N141)</f>
        <v/>
      </c>
      <c r="I141" s="17" t="str">
        <f>IF($B141="لا","",'تحليل الفجوة'!$T141)</f>
        <v/>
      </c>
      <c r="J141" s="18" t="str">
        <f>IF($B141="لا","",'تحليل الفجوة'!$O141)</f>
        <v/>
      </c>
      <c r="K141" s="18" t="str">
        <f>IF($B141="لا","",'تحليل الفجوة'!$H141)</f>
        <v/>
      </c>
      <c r="L141" s="19"/>
      <c r="M141" s="19"/>
      <c r="N141" s="19"/>
      <c r="O141" s="19"/>
      <c r="P141" s="19"/>
      <c r="Q141" s="19"/>
      <c r="R141" s="19"/>
      <c r="S141" s="19"/>
      <c r="T141" s="19"/>
      <c r="U141" s="19"/>
      <c r="V141" s="15" t="str">
        <f t="shared" ca="1" si="4"/>
        <v>—</v>
      </c>
    </row>
    <row r="142" spans="1:22" ht="38" customHeight="1" x14ac:dyDescent="0.3">
      <c r="A142" s="15">
        <f>IF('تحليل الفجوة'!$R142="نعم",COUNTIF('تحليل الفجوة'!$R$4:'تحليل الفجوة'!$R142,"نعم"),"—")</f>
        <v>72</v>
      </c>
      <c r="B142" s="15" t="str">
        <f>'تحليل الفجوة'!$R142</f>
        <v>نعم</v>
      </c>
      <c r="C142" s="17" t="str">
        <f>IF($B142="لا","",'تحليل الفجوة'!$B142)</f>
        <v>ISO 10004:2018</v>
      </c>
      <c r="D142" s="17" t="str">
        <f>IF($B142="لا","",'تحليل الفجوة'!$C142)</f>
        <v>7.3.1</v>
      </c>
      <c r="E142" s="18" t="str">
        <f>IF($B142="لا","",'تحليل الفجوة'!$D142)</f>
        <v>تحديد واختيار الخصائص المتعلقة برضا المستفيد</v>
      </c>
      <c r="F142" s="17" t="str">
        <f>IF($B142="لا","",'تحليل الفجوة'!$S142)</f>
        <v>تحليل فجوة + تدقيق</v>
      </c>
      <c r="G142" s="17" t="str">
        <f>IF($B142="لا","",'تحليل الفجوة'!$J142)</f>
        <v>غير مطبق</v>
      </c>
      <c r="H142" s="17" t="str">
        <f>IF($B142="لا","",'تحليل الفجوة'!$N142)</f>
        <v>عدم مطابقة صغرى</v>
      </c>
      <c r="I142" s="17" t="str">
        <f>IF($B142="لا","",'تحليل الفجوة'!$T142)</f>
        <v>حرجة</v>
      </c>
      <c r="J142" s="18" t="str">
        <f>IF($B142="لا","",'تحليل الفجوة'!$O142)</f>
        <v>لا توجد آلية لجمع البيانات المطلوبة لهذا البند</v>
      </c>
      <c r="K142" s="18" t="str">
        <f>IF($B142="لا","",'تحليل الفجوة'!$H142)</f>
        <v>IMT-ISE-CS-PRO-001</v>
      </c>
      <c r="L142" s="13" t="s">
        <v>679</v>
      </c>
      <c r="M142" s="10" t="s">
        <v>104</v>
      </c>
      <c r="N142" s="10" t="s">
        <v>88</v>
      </c>
      <c r="O142" s="10" t="s">
        <v>98</v>
      </c>
      <c r="P142" s="16">
        <v>46236</v>
      </c>
      <c r="Q142" s="16">
        <v>46326</v>
      </c>
      <c r="R142" s="11" t="s">
        <v>90</v>
      </c>
      <c r="S142" s="11">
        <v>100</v>
      </c>
      <c r="T142" s="10" t="s">
        <v>91</v>
      </c>
      <c r="U142" s="16">
        <v>46325</v>
      </c>
      <c r="V142" s="15" t="str">
        <f t="shared" ca="1" si="4"/>
        <v>مغلق</v>
      </c>
    </row>
    <row r="143" spans="1:22" ht="38" hidden="1" customHeight="1" x14ac:dyDescent="0.3">
      <c r="A143" s="15" t="str">
        <f>IF('تحليل الفجوة'!$R143="نعم",COUNTIF('تحليل الفجوة'!$R$4:'تحليل الفجوة'!$R143,"نعم"),"—")</f>
        <v>—</v>
      </c>
      <c r="B143" s="15" t="str">
        <f>'تحليل الفجوة'!$R143</f>
        <v>لا</v>
      </c>
      <c r="C143" s="17" t="str">
        <f>IF($B143="لا","",'تحليل الفجوة'!$B143)</f>
        <v/>
      </c>
      <c r="D143" s="17" t="str">
        <f>IF($B143="لا","",'تحليل الفجوة'!$C143)</f>
        <v/>
      </c>
      <c r="E143" s="18" t="str">
        <f>IF($B143="لا","",'تحليل الفجوة'!$D143)</f>
        <v/>
      </c>
      <c r="F143" s="17" t="str">
        <f>IF($B143="لا","",'تحليل الفجوة'!$S143)</f>
        <v/>
      </c>
      <c r="G143" s="17" t="str">
        <f>IF($B143="لا","",'تحليل الفجوة'!$J143)</f>
        <v/>
      </c>
      <c r="H143" s="17" t="str">
        <f>IF($B143="لا","",'تحليل الفجوة'!$N143)</f>
        <v/>
      </c>
      <c r="I143" s="17" t="str">
        <f>IF($B143="لا","",'تحليل الفجوة'!$T143)</f>
        <v/>
      </c>
      <c r="J143" s="18" t="str">
        <f>IF($B143="لا","",'تحليل الفجوة'!$O143)</f>
        <v/>
      </c>
      <c r="K143" s="18" t="str">
        <f>IF($B143="لا","",'تحليل الفجوة'!$H143)</f>
        <v/>
      </c>
      <c r="L143" s="19"/>
      <c r="M143" s="19"/>
      <c r="N143" s="19"/>
      <c r="O143" s="19"/>
      <c r="P143" s="19"/>
      <c r="Q143" s="19"/>
      <c r="R143" s="19"/>
      <c r="S143" s="19"/>
      <c r="T143" s="19"/>
      <c r="U143" s="19"/>
      <c r="V143" s="15" t="str">
        <f t="shared" ca="1" si="4"/>
        <v>—</v>
      </c>
    </row>
    <row r="144" spans="1:22" ht="38" customHeight="1" x14ac:dyDescent="0.3">
      <c r="A144" s="15">
        <f>IF('تحليل الفجوة'!$R144="نعم",COUNTIF('تحليل الفجوة'!$R$4:'تحليل الفجوة'!$R144,"نعم"),"—")</f>
        <v>73</v>
      </c>
      <c r="B144" s="15" t="str">
        <f>'تحليل الفجوة'!$R144</f>
        <v>نعم</v>
      </c>
      <c r="C144" s="17" t="str">
        <f>IF($B144="لا","",'تحليل الفجوة'!$B144)</f>
        <v>ISO 10004:2018</v>
      </c>
      <c r="D144" s="17" t="str">
        <f>IF($B144="لا","",'تحليل الفجوة'!$C144)</f>
        <v>7.3.3</v>
      </c>
      <c r="E144" s="18" t="str">
        <f>IF($B144="لا","",'تحليل الفجوة'!$D144)</f>
        <v>المقاييس المباشرة لرضا المستفيد</v>
      </c>
      <c r="F144" s="17" t="str">
        <f>IF($B144="لا","",'تحليل الفجوة'!$S144)</f>
        <v>تحليل فجوة + تدقيق</v>
      </c>
      <c r="G144" s="17" t="str">
        <f>IF($B144="لا","",'تحليل الفجوة'!$J144)</f>
        <v>غير مطبق</v>
      </c>
      <c r="H144" s="17" t="str">
        <f>IF($B144="لا","",'تحليل الفجوة'!$N144)</f>
        <v>عدم مطابقة كبرى</v>
      </c>
      <c r="I144" s="17" t="str">
        <f>IF($B144="لا","",'تحليل الفجوة'!$T144)</f>
        <v>حرجة</v>
      </c>
      <c r="J144" s="18" t="str">
        <f>IF($B144="لا","",'تحليل الفجوة'!$O144)</f>
        <v>لا توجد آلية لجمع البيانات المطلوبة لهذا البند</v>
      </c>
      <c r="K144" s="18" t="str">
        <f>IF($B144="لا","",'تحليل الفجوة'!$H144)</f>
        <v>IMT-ISE-CS-PRO-001</v>
      </c>
      <c r="L144" s="13" t="s">
        <v>679</v>
      </c>
      <c r="M144" s="10" t="s">
        <v>104</v>
      </c>
      <c r="N144" s="10" t="s">
        <v>105</v>
      </c>
      <c r="O144" s="10" t="s">
        <v>112</v>
      </c>
      <c r="P144" s="16">
        <v>46247</v>
      </c>
      <c r="Q144" s="16">
        <v>46337</v>
      </c>
      <c r="R144" s="11" t="s">
        <v>70</v>
      </c>
      <c r="S144" s="11">
        <v>0</v>
      </c>
      <c r="T144" s="10" t="s">
        <v>71</v>
      </c>
      <c r="U144" s="16"/>
      <c r="V144" s="15" t="str">
        <f t="shared" ca="1" si="4"/>
        <v>ضمن المدة</v>
      </c>
    </row>
    <row r="145" spans="1:22" ht="38" customHeight="1" x14ac:dyDescent="0.3">
      <c r="A145" s="15">
        <f>IF('تحليل الفجوة'!$R145="نعم",COUNTIF('تحليل الفجوة'!$R$4:'تحليل الفجوة'!$R145,"نعم"),"—")</f>
        <v>74</v>
      </c>
      <c r="B145" s="15" t="str">
        <f>'تحليل الفجوة'!$R145</f>
        <v>نعم</v>
      </c>
      <c r="C145" s="17" t="str">
        <f>IF($B145="لا","",'تحليل الفجوة'!$B145)</f>
        <v>ISO 10004:2018</v>
      </c>
      <c r="D145" s="17" t="str">
        <f>IF($B145="لا","",'تحليل الفجوة'!$C145)</f>
        <v>7.3.4</v>
      </c>
      <c r="E145" s="18" t="str">
        <f>IF($B145="لا","",'تحليل الفجوة'!$D145)</f>
        <v>جمع بيانات رضا المستفيد</v>
      </c>
      <c r="F145" s="17" t="str">
        <f>IF($B145="لا","",'تحليل الفجوة'!$S145)</f>
        <v>تحليل فجوة</v>
      </c>
      <c r="G145" s="17" t="str">
        <f>IF($B145="لا","",'تحليل الفجوة'!$J145)</f>
        <v>مطبق جزئياً</v>
      </c>
      <c r="H145" s="17" t="str">
        <f>IF($B145="لا","",'تحليل الفجوة'!$N145)</f>
        <v>ملاحظة</v>
      </c>
      <c r="I145" s="17" t="str">
        <f>IF($B145="لا","",'تحليل الفجوة'!$T145)</f>
        <v>عالية</v>
      </c>
      <c r="J145" s="18" t="str">
        <f>IF($B145="لا","",'تحليل الفجوة'!$O145)</f>
        <v>تطبيق جزئي — يحتاج تعميماً على باقي القنوات والإدارات</v>
      </c>
      <c r="K145" s="18" t="str">
        <f>IF($B145="لا","",'تحليل الفجوة'!$H145)</f>
        <v>IMT-ISE-CS-PRO-001</v>
      </c>
      <c r="L145" s="13" t="s">
        <v>678</v>
      </c>
      <c r="M145" s="10" t="s">
        <v>96</v>
      </c>
      <c r="N145" s="10" t="s">
        <v>88</v>
      </c>
      <c r="O145" s="10" t="s">
        <v>79</v>
      </c>
      <c r="P145" s="16">
        <v>46218</v>
      </c>
      <c r="Q145" s="16">
        <v>46253</v>
      </c>
      <c r="R145" s="11" t="s">
        <v>80</v>
      </c>
      <c r="S145" s="11">
        <v>25</v>
      </c>
      <c r="T145" s="10" t="s">
        <v>81</v>
      </c>
      <c r="U145" s="16"/>
      <c r="V145" s="15" t="str">
        <f t="shared" ca="1" si="4"/>
        <v>ضمن المدة</v>
      </c>
    </row>
    <row r="146" spans="1:22" ht="38" hidden="1" customHeight="1" x14ac:dyDescent="0.3">
      <c r="A146" s="15" t="str">
        <f>IF('تحليل الفجوة'!$R146="نعم",COUNTIF('تحليل الفجوة'!$R$4:'تحليل الفجوة'!$R146,"نعم"),"—")</f>
        <v>—</v>
      </c>
      <c r="B146" s="15" t="str">
        <f>'تحليل الفجوة'!$R146</f>
        <v>لا</v>
      </c>
      <c r="C146" s="17" t="str">
        <f>IF($B146="لا","",'تحليل الفجوة'!$B146)</f>
        <v/>
      </c>
      <c r="D146" s="17" t="str">
        <f>IF($B146="لا","",'تحليل الفجوة'!$C146)</f>
        <v/>
      </c>
      <c r="E146" s="18" t="str">
        <f>IF($B146="لا","",'تحليل الفجوة'!$D146)</f>
        <v/>
      </c>
      <c r="F146" s="17" t="str">
        <f>IF($B146="لا","",'تحليل الفجوة'!$S146)</f>
        <v/>
      </c>
      <c r="G146" s="17" t="str">
        <f>IF($B146="لا","",'تحليل الفجوة'!$J146)</f>
        <v/>
      </c>
      <c r="H146" s="17" t="str">
        <f>IF($B146="لا","",'تحليل الفجوة'!$N146)</f>
        <v/>
      </c>
      <c r="I146" s="17" t="str">
        <f>IF($B146="لا","",'تحليل الفجوة'!$T146)</f>
        <v/>
      </c>
      <c r="J146" s="18" t="str">
        <f>IF($B146="لا","",'تحليل الفجوة'!$O146)</f>
        <v/>
      </c>
      <c r="K146" s="18" t="str">
        <f>IF($B146="لا","",'تحليل الفجوة'!$H146)</f>
        <v/>
      </c>
      <c r="L146" s="19"/>
      <c r="M146" s="19"/>
      <c r="N146" s="19"/>
      <c r="O146" s="19"/>
      <c r="P146" s="19"/>
      <c r="Q146" s="19"/>
      <c r="R146" s="19"/>
      <c r="S146" s="19"/>
      <c r="T146" s="19"/>
      <c r="U146" s="19"/>
      <c r="V146" s="15" t="str">
        <f t="shared" ca="1" si="4"/>
        <v>—</v>
      </c>
    </row>
    <row r="147" spans="1:22" ht="38" customHeight="1" x14ac:dyDescent="0.3">
      <c r="A147" s="15">
        <f>IF('تحليل الفجوة'!$R147="نعم",COUNTIF('تحليل الفجوة'!$R$4:'تحليل الفجوة'!$R147,"نعم"),"—")</f>
        <v>75</v>
      </c>
      <c r="B147" s="15" t="str">
        <f>'تحليل الفجوة'!$R147</f>
        <v>نعم</v>
      </c>
      <c r="C147" s="17" t="str">
        <f>IF($B147="لا","",'تحليل الفجوة'!$B147)</f>
        <v>ISO 10004:2018</v>
      </c>
      <c r="D147" s="17" t="str">
        <f>IF($B147="لا","",'تحليل الفجوة'!$C147)</f>
        <v>7.4.2</v>
      </c>
      <c r="E147" s="18" t="str">
        <f>IF($B147="لا","",'تحليل الفجوة'!$D147)</f>
        <v>تحضير البيانات للتحليل</v>
      </c>
      <c r="F147" s="17" t="str">
        <f>IF($B147="لا","",'تحليل الفجوة'!$S147)</f>
        <v>تحليل فجوة</v>
      </c>
      <c r="G147" s="17" t="str">
        <f>IF($B147="لا","",'تحليل الفجوة'!$J147)</f>
        <v>مطبق جزئياً</v>
      </c>
      <c r="H147" s="17" t="str">
        <f>IF($B147="لا","",'تحليل الفجوة'!$N147)</f>
        <v>فرصة تحسين</v>
      </c>
      <c r="I147" s="17" t="str">
        <f>IF($B147="لا","",'تحليل الفجوة'!$T147)</f>
        <v>منخفضة</v>
      </c>
      <c r="J147" s="18" t="str">
        <f>IF($B147="لا","",'تحليل الفجوة'!$O147)</f>
        <v>تطبيق جزئي — يحتاج تعميماً على باقي القنوات والإدارات</v>
      </c>
      <c r="K147" s="18" t="str">
        <f>IF($B147="لا","",'تحليل الفجوة'!$H147)</f>
        <v>IMT-ISE-SH-PRO-003</v>
      </c>
      <c r="L147" s="13" t="s">
        <v>677</v>
      </c>
      <c r="M147" s="10" t="s">
        <v>87</v>
      </c>
      <c r="N147" s="10" t="s">
        <v>114</v>
      </c>
      <c r="O147" s="10" t="s">
        <v>79</v>
      </c>
      <c r="P147" s="16">
        <v>46261</v>
      </c>
      <c r="Q147" s="16">
        <v>46301</v>
      </c>
      <c r="R147" s="11" t="s">
        <v>80</v>
      </c>
      <c r="S147" s="11">
        <v>25</v>
      </c>
      <c r="T147" s="10" t="s">
        <v>81</v>
      </c>
      <c r="U147" s="16"/>
      <c r="V147" s="15" t="str">
        <f t="shared" ca="1" si="4"/>
        <v>ضمن المدة</v>
      </c>
    </row>
    <row r="148" spans="1:22" ht="38" customHeight="1" x14ac:dyDescent="0.3">
      <c r="A148" s="15">
        <f>IF('تحليل الفجوة'!$R148="نعم",COUNTIF('تحليل الفجوة'!$R$4:'تحليل الفجوة'!$R148,"نعم"),"—")</f>
        <v>76</v>
      </c>
      <c r="B148" s="15" t="str">
        <f>'تحليل الفجوة'!$R148</f>
        <v>نعم</v>
      </c>
      <c r="C148" s="17" t="str">
        <f>IF($B148="لا","",'تحليل الفجوة'!$B148)</f>
        <v>ISO 10004:2018</v>
      </c>
      <c r="D148" s="17" t="str">
        <f>IF($B148="لا","",'تحليل الفجوة'!$C148)</f>
        <v>7.4.3</v>
      </c>
      <c r="E148" s="18" t="str">
        <f>IF($B148="لا","",'تحليل الفجوة'!$D148)</f>
        <v>تحديد طريقة التحليل</v>
      </c>
      <c r="F148" s="17" t="str">
        <f>IF($B148="لا","",'تحليل الفجوة'!$S148)</f>
        <v>تحليل فجوة</v>
      </c>
      <c r="G148" s="17" t="str">
        <f>IF($B148="لا","",'تحليل الفجوة'!$J148)</f>
        <v>مطبق جزئياً</v>
      </c>
      <c r="H148" s="17" t="str">
        <f>IF($B148="لا","",'تحليل الفجوة'!$N148)</f>
        <v>ملاحظة</v>
      </c>
      <c r="I148" s="17" t="str">
        <f>IF($B148="لا","",'تحليل الفجوة'!$T148)</f>
        <v>عالية</v>
      </c>
      <c r="J148" s="18" t="str">
        <f>IF($B148="لا","",'تحليل الفجوة'!$O148)</f>
        <v>تطبيق جزئي — يحتاج تعميماً على باقي القنوات والإدارات</v>
      </c>
      <c r="K148" s="18" t="str">
        <f>IF($B148="لا","",'تحليل الفجوة'!$H148)</f>
        <v>IMT-ISE-SH-PRO-003</v>
      </c>
      <c r="L148" s="13" t="s">
        <v>678</v>
      </c>
      <c r="M148" s="10" t="s">
        <v>96</v>
      </c>
      <c r="N148" s="10" t="s">
        <v>105</v>
      </c>
      <c r="O148" s="10" t="s">
        <v>79</v>
      </c>
      <c r="P148" s="16">
        <v>46232</v>
      </c>
      <c r="Q148" s="16">
        <v>46267</v>
      </c>
      <c r="R148" s="11" t="s">
        <v>80</v>
      </c>
      <c r="S148" s="11">
        <v>25</v>
      </c>
      <c r="T148" s="10" t="s">
        <v>81</v>
      </c>
      <c r="U148" s="16"/>
      <c r="V148" s="15" t="str">
        <f t="shared" ca="1" si="4"/>
        <v>ضمن المدة</v>
      </c>
    </row>
    <row r="149" spans="1:22" ht="38" hidden="1" customHeight="1" x14ac:dyDescent="0.3">
      <c r="A149" s="15" t="str">
        <f>IF('تحليل الفجوة'!$R149="نعم",COUNTIF('تحليل الفجوة'!$R$4:'تحليل الفجوة'!$R149,"نعم"),"—")</f>
        <v>—</v>
      </c>
      <c r="B149" s="15" t="str">
        <f>'تحليل الفجوة'!$R149</f>
        <v>لا</v>
      </c>
      <c r="C149" s="17" t="str">
        <f>IF($B149="لا","",'تحليل الفجوة'!$B149)</f>
        <v/>
      </c>
      <c r="D149" s="17" t="str">
        <f>IF($B149="لا","",'تحليل الفجوة'!$C149)</f>
        <v/>
      </c>
      <c r="E149" s="18" t="str">
        <f>IF($B149="لا","",'تحليل الفجوة'!$D149)</f>
        <v/>
      </c>
      <c r="F149" s="17" t="str">
        <f>IF($B149="لا","",'تحليل الفجوة'!$S149)</f>
        <v/>
      </c>
      <c r="G149" s="17" t="str">
        <f>IF($B149="لا","",'تحليل الفجوة'!$J149)</f>
        <v/>
      </c>
      <c r="H149" s="17" t="str">
        <f>IF($B149="لا","",'تحليل الفجوة'!$N149)</f>
        <v/>
      </c>
      <c r="I149" s="17" t="str">
        <f>IF($B149="لا","",'تحليل الفجوة'!$T149)</f>
        <v/>
      </c>
      <c r="J149" s="18" t="str">
        <f>IF($B149="لا","",'تحليل الفجوة'!$O149)</f>
        <v/>
      </c>
      <c r="K149" s="18" t="str">
        <f>IF($B149="لا","",'تحليل الفجوة'!$H149)</f>
        <v/>
      </c>
      <c r="L149" s="19"/>
      <c r="M149" s="19"/>
      <c r="N149" s="19"/>
      <c r="O149" s="19"/>
      <c r="P149" s="19"/>
      <c r="Q149" s="19"/>
      <c r="R149" s="19"/>
      <c r="S149" s="19"/>
      <c r="T149" s="19"/>
      <c r="U149" s="19"/>
      <c r="V149" s="15" t="str">
        <f t="shared" ca="1" si="4"/>
        <v>—</v>
      </c>
    </row>
    <row r="150" spans="1:22" ht="38" hidden="1" customHeight="1" x14ac:dyDescent="0.3">
      <c r="A150" s="15" t="str">
        <f>IF('تحليل الفجوة'!$R150="نعم",COUNTIF('تحليل الفجوة'!$R$4:'تحليل الفجوة'!$R150,"نعم"),"—")</f>
        <v>—</v>
      </c>
      <c r="B150" s="15" t="str">
        <f>'تحليل الفجوة'!$R150</f>
        <v>لا</v>
      </c>
      <c r="C150" s="17" t="str">
        <f>IF($B150="لا","",'تحليل الفجوة'!$B150)</f>
        <v/>
      </c>
      <c r="D150" s="17" t="str">
        <f>IF($B150="لا","",'تحليل الفجوة'!$C150)</f>
        <v/>
      </c>
      <c r="E150" s="18" t="str">
        <f>IF($B150="لا","",'تحليل الفجوة'!$D150)</f>
        <v/>
      </c>
      <c r="F150" s="17" t="str">
        <f>IF($B150="لا","",'تحليل الفجوة'!$S150)</f>
        <v/>
      </c>
      <c r="G150" s="17" t="str">
        <f>IF($B150="لا","",'تحليل الفجوة'!$J150)</f>
        <v/>
      </c>
      <c r="H150" s="17" t="str">
        <f>IF($B150="لا","",'تحليل الفجوة'!$N150)</f>
        <v/>
      </c>
      <c r="I150" s="17" t="str">
        <f>IF($B150="لا","",'تحليل الفجوة'!$T150)</f>
        <v/>
      </c>
      <c r="J150" s="18" t="str">
        <f>IF($B150="لا","",'تحليل الفجوة'!$O150)</f>
        <v/>
      </c>
      <c r="K150" s="18" t="str">
        <f>IF($B150="لا","",'تحليل الفجوة'!$H150)</f>
        <v/>
      </c>
      <c r="L150" s="19"/>
      <c r="M150" s="19"/>
      <c r="N150" s="19"/>
      <c r="O150" s="19"/>
      <c r="P150" s="19"/>
      <c r="Q150" s="19"/>
      <c r="R150" s="19"/>
      <c r="S150" s="19"/>
      <c r="T150" s="19"/>
      <c r="U150" s="19"/>
      <c r="V150" s="15" t="str">
        <f t="shared" ca="1" si="4"/>
        <v>—</v>
      </c>
    </row>
    <row r="151" spans="1:22" ht="38" customHeight="1" x14ac:dyDescent="0.3">
      <c r="A151" s="15">
        <f>IF('تحليل الفجوة'!$R151="نعم",COUNTIF('تحليل الفجوة'!$R$4:'تحليل الفجوة'!$R151,"نعم"),"—")</f>
        <v>77</v>
      </c>
      <c r="B151" s="15" t="str">
        <f>'تحليل الفجوة'!$R151</f>
        <v>نعم</v>
      </c>
      <c r="C151" s="17" t="str">
        <f>IF($B151="لا","",'تحليل الفجوة'!$B151)</f>
        <v>ISO 10004:2018</v>
      </c>
      <c r="D151" s="17" t="str">
        <f>IF($B151="لا","",'تحليل الفجوة'!$C151)</f>
        <v>7.4.6</v>
      </c>
      <c r="E151" s="18" t="str">
        <f>IF($B151="لا","",'تحليل الفجوة'!$D151)</f>
        <v>إعداد تقرير النتائج والتوصيات</v>
      </c>
      <c r="F151" s="17" t="str">
        <f>IF($B151="لا","",'تحليل الفجوة'!$S151)</f>
        <v>تحليل فجوة + تدقيق</v>
      </c>
      <c r="G151" s="17" t="str">
        <f>IF($B151="لا","",'تحليل الفجوة'!$J151)</f>
        <v>مطبق جزئياً</v>
      </c>
      <c r="H151" s="17" t="str">
        <f>IF($B151="لا","",'تحليل الفجوة'!$N151)</f>
        <v>عدم مطابقة صغرى</v>
      </c>
      <c r="I151" s="17" t="str">
        <f>IF($B151="لا","",'تحليل الفجوة'!$T151)</f>
        <v>عالية</v>
      </c>
      <c r="J151" s="18" t="str">
        <f>IF($B151="لا","",'تحليل الفجوة'!$O151)</f>
        <v>التطبيق قائم على أشخاص لا على إجراء — ينهار بتغيّر الموظف</v>
      </c>
      <c r="K151" s="18" t="str">
        <f>IF($B151="لا","",'تحليل الفجوة'!$H151)</f>
        <v>IMT-ISE-SH-PRO-003</v>
      </c>
      <c r="L151" s="13" t="s">
        <v>677</v>
      </c>
      <c r="M151" s="10" t="s">
        <v>87</v>
      </c>
      <c r="N151" s="10" t="s">
        <v>114</v>
      </c>
      <c r="O151" s="10" t="s">
        <v>106</v>
      </c>
      <c r="P151" s="16">
        <v>46244</v>
      </c>
      <c r="Q151" s="16">
        <v>46284</v>
      </c>
      <c r="R151" s="11" t="s">
        <v>90</v>
      </c>
      <c r="S151" s="11">
        <v>100</v>
      </c>
      <c r="T151" s="10" t="s">
        <v>91</v>
      </c>
      <c r="U151" s="16">
        <v>46273</v>
      </c>
      <c r="V151" s="15" t="str">
        <f t="shared" ca="1" si="4"/>
        <v>مغلق</v>
      </c>
    </row>
    <row r="152" spans="1:22" ht="38" customHeight="1" x14ac:dyDescent="0.3">
      <c r="A152" s="15">
        <f>IF('تحليل الفجوة'!$R152="نعم",COUNTIF('تحليل الفجوة'!$R$4:'تحليل الفجوة'!$R152,"نعم"),"—")</f>
        <v>78</v>
      </c>
      <c r="B152" s="15" t="str">
        <f>'تحليل الفجوة'!$R152</f>
        <v>نعم</v>
      </c>
      <c r="C152" s="17" t="str">
        <f>IF($B152="لا","",'تحليل الفجوة'!$B152)</f>
        <v>ISO 10004:2018</v>
      </c>
      <c r="D152" s="17" t="str">
        <f>IF($B152="لا","",'تحليل الفجوة'!$C152)</f>
        <v>7.5</v>
      </c>
      <c r="E152" s="18" t="str">
        <f>IF($B152="لا","",'تحليل الفجوة'!$D152)</f>
        <v>إيصال معلومات رضا المستفيد</v>
      </c>
      <c r="F152" s="17" t="str">
        <f>IF($B152="لا","",'تحليل الفجوة'!$S152)</f>
        <v>تحليل فجوة + تدقيق</v>
      </c>
      <c r="G152" s="17" t="str">
        <f>IF($B152="لا","",'تحليل الفجوة'!$J152)</f>
        <v>غير مطبق</v>
      </c>
      <c r="H152" s="17" t="str">
        <f>IF($B152="لا","",'تحليل الفجوة'!$N152)</f>
        <v>عدم مطابقة كبرى</v>
      </c>
      <c r="I152" s="17" t="str">
        <f>IF($B152="لا","",'تحليل الفجوة'!$T152)</f>
        <v>حرجة</v>
      </c>
      <c r="J152" s="18" t="str">
        <f>IF($B152="لا","",'تحليل الفجوة'!$O152)</f>
        <v>غياب كامل للبند — لا وثيقة ولا سجل ولا مالك</v>
      </c>
      <c r="K152" s="18" t="str">
        <f>IF($B152="لا","",'تحليل الفجوة'!$H152)</f>
        <v>IMT-ISE-SH-PRO-001</v>
      </c>
      <c r="L152" s="13" t="s">
        <v>682</v>
      </c>
      <c r="M152" s="10" t="s">
        <v>67</v>
      </c>
      <c r="N152" s="10" t="s">
        <v>88</v>
      </c>
      <c r="O152" s="10" t="s">
        <v>89</v>
      </c>
      <c r="P152" s="16">
        <v>46220</v>
      </c>
      <c r="Q152" s="16">
        <v>46265</v>
      </c>
      <c r="R152" s="11" t="s">
        <v>80</v>
      </c>
      <c r="S152" s="11">
        <v>25</v>
      </c>
      <c r="T152" s="10" t="s">
        <v>81</v>
      </c>
      <c r="U152" s="16"/>
      <c r="V152" s="15" t="str">
        <f t="shared" ca="1" si="4"/>
        <v>ضمن المدة</v>
      </c>
    </row>
    <row r="153" spans="1:22" ht="38" hidden="1" customHeight="1" x14ac:dyDescent="0.3">
      <c r="A153" s="15" t="str">
        <f>IF('تحليل الفجوة'!$R153="نعم",COUNTIF('تحليل الفجوة'!$R$4:'تحليل الفجوة'!$R153,"نعم"),"—")</f>
        <v>—</v>
      </c>
      <c r="B153" s="15" t="str">
        <f>'تحليل الفجوة'!$R153</f>
        <v>لا</v>
      </c>
      <c r="C153" s="17" t="str">
        <f>IF($B153="لا","",'تحليل الفجوة'!$B153)</f>
        <v/>
      </c>
      <c r="D153" s="17" t="str">
        <f>IF($B153="لا","",'تحليل الفجوة'!$C153)</f>
        <v/>
      </c>
      <c r="E153" s="18" t="str">
        <f>IF($B153="لا","",'تحليل الفجوة'!$D153)</f>
        <v/>
      </c>
      <c r="F153" s="17" t="str">
        <f>IF($B153="لا","",'تحليل الفجوة'!$S153)</f>
        <v/>
      </c>
      <c r="G153" s="17" t="str">
        <f>IF($B153="لا","",'تحليل الفجوة'!$J153)</f>
        <v/>
      </c>
      <c r="H153" s="17" t="str">
        <f>IF($B153="لا","",'تحليل الفجوة'!$N153)</f>
        <v/>
      </c>
      <c r="I153" s="17" t="str">
        <f>IF($B153="لا","",'تحليل الفجوة'!$T153)</f>
        <v/>
      </c>
      <c r="J153" s="18" t="str">
        <f>IF($B153="لا","",'تحليل الفجوة'!$O153)</f>
        <v/>
      </c>
      <c r="K153" s="18" t="str">
        <f>IF($B153="لا","",'تحليل الفجوة'!$H153)</f>
        <v/>
      </c>
      <c r="L153" s="19"/>
      <c r="M153" s="19"/>
      <c r="N153" s="19"/>
      <c r="O153" s="19"/>
      <c r="P153" s="19"/>
      <c r="Q153" s="19"/>
      <c r="R153" s="19"/>
      <c r="S153" s="19"/>
      <c r="T153" s="19"/>
      <c r="U153" s="19"/>
      <c r="V153" s="15" t="str">
        <f t="shared" ca="1" si="4"/>
        <v>—</v>
      </c>
    </row>
    <row r="154" spans="1:22" ht="38" customHeight="1" x14ac:dyDescent="0.3">
      <c r="A154" s="15">
        <f>IF('تحليل الفجوة'!$R154="نعم",COUNTIF('تحليل الفجوة'!$R$4:'تحليل الفجوة'!$R154,"نعم"),"—")</f>
        <v>79</v>
      </c>
      <c r="B154" s="15" t="str">
        <f>'تحليل الفجوة'!$R154</f>
        <v>نعم</v>
      </c>
      <c r="C154" s="17" t="str">
        <f>IF($B154="لا","",'تحليل الفجوة'!$B154)</f>
        <v>ISO 10004:2018</v>
      </c>
      <c r="D154" s="17" t="str">
        <f>IF($B154="لا","",'تحليل الفجوة'!$C154)</f>
        <v>7.6.2</v>
      </c>
      <c r="E154" s="18" t="str">
        <f>IF($B154="لا","",'تحليل الفجوة'!$D154)</f>
        <v>فحص المستفيدين المختارين والبيانات المجمعة</v>
      </c>
      <c r="F154" s="17" t="str">
        <f>IF($B154="لا","",'تحليل الفجوة'!$S154)</f>
        <v>تحليل فجوة + تدقيق</v>
      </c>
      <c r="G154" s="17" t="str">
        <f>IF($B154="لا","",'تحليل الفجوة'!$J154)</f>
        <v>غير مطبق</v>
      </c>
      <c r="H154" s="17" t="str">
        <f>IF($B154="لا","",'تحليل الفجوة'!$N154)</f>
        <v>عدم مطابقة صغرى</v>
      </c>
      <c r="I154" s="17" t="str">
        <f>IF($B154="لا","",'تحليل الفجوة'!$T154)</f>
        <v>عالية</v>
      </c>
      <c r="J154" s="18" t="str">
        <f>IF($B154="لا","",'تحليل الفجوة'!$O154)</f>
        <v>لا يوجد مصدر قياس يسمح بإثبات التطبيق</v>
      </c>
      <c r="K154" s="18" t="str">
        <f>IF($B154="لا","",'تحليل الفجوة'!$H154)</f>
        <v>IMT-ISE-SH-PRO-004</v>
      </c>
      <c r="L154" s="13" t="s">
        <v>680</v>
      </c>
      <c r="M154" s="10" t="s">
        <v>77</v>
      </c>
      <c r="N154" s="10" t="s">
        <v>105</v>
      </c>
      <c r="O154" s="10" t="s">
        <v>112</v>
      </c>
      <c r="P154" s="16">
        <v>46218</v>
      </c>
      <c r="Q154" s="16">
        <v>46293</v>
      </c>
      <c r="R154" s="11" t="s">
        <v>80</v>
      </c>
      <c r="S154" s="11">
        <v>25</v>
      </c>
      <c r="T154" s="10" t="s">
        <v>81</v>
      </c>
      <c r="U154" s="16"/>
      <c r="V154" s="15" t="str">
        <f t="shared" ca="1" si="4"/>
        <v>ضمن المدة</v>
      </c>
    </row>
    <row r="155" spans="1:22" ht="38" hidden="1" customHeight="1" x14ac:dyDescent="0.3">
      <c r="A155" s="15" t="str">
        <f>IF('تحليل الفجوة'!$R155="نعم",COUNTIF('تحليل الفجوة'!$R$4:'تحليل الفجوة'!$R155,"نعم"),"—")</f>
        <v>—</v>
      </c>
      <c r="B155" s="15" t="str">
        <f>'تحليل الفجوة'!$R155</f>
        <v>لا</v>
      </c>
      <c r="C155" s="17" t="str">
        <f>IF($B155="لا","",'تحليل الفجوة'!$B155)</f>
        <v/>
      </c>
      <c r="D155" s="17" t="str">
        <f>IF($B155="لا","",'تحليل الفجوة'!$C155)</f>
        <v/>
      </c>
      <c r="E155" s="18" t="str">
        <f>IF($B155="لا","",'تحليل الفجوة'!$D155)</f>
        <v/>
      </c>
      <c r="F155" s="17" t="str">
        <f>IF($B155="لا","",'تحليل الفجوة'!$S155)</f>
        <v/>
      </c>
      <c r="G155" s="17" t="str">
        <f>IF($B155="لا","",'تحليل الفجوة'!$J155)</f>
        <v/>
      </c>
      <c r="H155" s="17" t="str">
        <f>IF($B155="لا","",'تحليل الفجوة'!$N155)</f>
        <v/>
      </c>
      <c r="I155" s="17" t="str">
        <f>IF($B155="لا","",'تحليل الفجوة'!$T155)</f>
        <v/>
      </c>
      <c r="J155" s="18" t="str">
        <f>IF($B155="لا","",'تحليل الفجوة'!$O155)</f>
        <v/>
      </c>
      <c r="K155" s="18" t="str">
        <f>IF($B155="لا","",'تحليل الفجوة'!$H155)</f>
        <v/>
      </c>
      <c r="L155" s="19"/>
      <c r="M155" s="19"/>
      <c r="N155" s="19"/>
      <c r="O155" s="19"/>
      <c r="P155" s="19"/>
      <c r="Q155" s="19"/>
      <c r="R155" s="19"/>
      <c r="S155" s="19"/>
      <c r="T155" s="19"/>
      <c r="U155" s="19"/>
      <c r="V155" s="15" t="str">
        <f t="shared" ca="1" si="4"/>
        <v>—</v>
      </c>
    </row>
    <row r="156" spans="1:22" ht="38" customHeight="1" x14ac:dyDescent="0.3">
      <c r="A156" s="15">
        <f>IF('تحليل الفجوة'!$R156="نعم",COUNTIF('تحليل الفجوة'!$R$4:'تحليل الفجوة'!$R156,"نعم"),"—")</f>
        <v>80</v>
      </c>
      <c r="B156" s="15" t="str">
        <f>'تحليل الفجوة'!$R156</f>
        <v>نعم</v>
      </c>
      <c r="C156" s="17" t="str">
        <f>IF($B156="لا","",'تحليل الفجوة'!$B156)</f>
        <v>ISO 10004:2018</v>
      </c>
      <c r="D156" s="17" t="str">
        <f>IF($B156="لا","",'تحليل الفجوة'!$C156)</f>
        <v>7.6.4</v>
      </c>
      <c r="E156" s="18" t="str">
        <f>IF($B156="لا","",'تحليل الفجوة'!$D156)</f>
        <v>مراقبة الإجراءات المتخذة استجابةً لمعلومات الرضا</v>
      </c>
      <c r="F156" s="17" t="str">
        <f>IF($B156="لا","",'تحليل الفجوة'!$S156)</f>
        <v>تحليل فجوة + تدقيق</v>
      </c>
      <c r="G156" s="17" t="str">
        <f>IF($B156="لا","",'تحليل الفجوة'!$J156)</f>
        <v>غير مطبق</v>
      </c>
      <c r="H156" s="17" t="str">
        <f>IF($B156="لا","",'تحليل الفجوة'!$N156)</f>
        <v>عدم مطابقة كبرى</v>
      </c>
      <c r="I156" s="17" t="str">
        <f>IF($B156="لا","",'تحليل الفجوة'!$T156)</f>
        <v>حرجة</v>
      </c>
      <c r="J156" s="18" t="str">
        <f>IF($B156="لا","",'تحليل الفجوة'!$O156)</f>
        <v>لا توجد آلية لجمع البيانات المطلوبة لهذا البند</v>
      </c>
      <c r="K156" s="18" t="str">
        <f>IF($B156="لا","",'تحليل الفجوة'!$H156)</f>
        <v>IMT-ISE-SH-PRO-004</v>
      </c>
      <c r="L156" s="13" t="s">
        <v>679</v>
      </c>
      <c r="M156" s="10" t="s">
        <v>104</v>
      </c>
      <c r="N156" s="10" t="s">
        <v>88</v>
      </c>
      <c r="O156" s="10" t="s">
        <v>79</v>
      </c>
      <c r="P156" s="16">
        <v>46233</v>
      </c>
      <c r="Q156" s="16">
        <v>46323</v>
      </c>
      <c r="R156" s="11" t="s">
        <v>107</v>
      </c>
      <c r="S156" s="11">
        <v>0</v>
      </c>
      <c r="T156" s="10" t="s">
        <v>71</v>
      </c>
      <c r="U156" s="16"/>
      <c r="V156" s="15" t="str">
        <f t="shared" ca="1" si="4"/>
        <v>ضمن المدة</v>
      </c>
    </row>
    <row r="157" spans="1:22" ht="38" hidden="1" customHeight="1" x14ac:dyDescent="0.3">
      <c r="A157" s="15" t="str">
        <f>IF('تحليل الفجوة'!$R157="نعم",COUNTIF('تحليل الفجوة'!$R$4:'تحليل الفجوة'!$R157,"نعم"),"—")</f>
        <v>—</v>
      </c>
      <c r="B157" s="15" t="str">
        <f>'تحليل الفجوة'!$R157</f>
        <v>لا</v>
      </c>
      <c r="C157" s="17" t="str">
        <f>IF($B157="لا","",'تحليل الفجوة'!$B157)</f>
        <v/>
      </c>
      <c r="D157" s="17" t="str">
        <f>IF($B157="لا","",'تحليل الفجوة'!$C157)</f>
        <v/>
      </c>
      <c r="E157" s="18" t="str">
        <f>IF($B157="لا","",'تحليل الفجوة'!$D157)</f>
        <v/>
      </c>
      <c r="F157" s="17" t="str">
        <f>IF($B157="لا","",'تحليل الفجوة'!$S157)</f>
        <v/>
      </c>
      <c r="G157" s="17" t="str">
        <f>IF($B157="لا","",'تحليل الفجوة'!$J157)</f>
        <v/>
      </c>
      <c r="H157" s="17" t="str">
        <f>IF($B157="لا","",'تحليل الفجوة'!$N157)</f>
        <v/>
      </c>
      <c r="I157" s="17" t="str">
        <f>IF($B157="لا","",'تحليل الفجوة'!$T157)</f>
        <v/>
      </c>
      <c r="J157" s="18" t="str">
        <f>IF($B157="لا","",'تحليل الفجوة'!$O157)</f>
        <v/>
      </c>
      <c r="K157" s="18" t="str">
        <f>IF($B157="لا","",'تحليل الفجوة'!$H157)</f>
        <v/>
      </c>
      <c r="L157" s="19"/>
      <c r="M157" s="19"/>
      <c r="N157" s="19"/>
      <c r="O157" s="19"/>
      <c r="P157" s="19"/>
      <c r="Q157" s="19"/>
      <c r="R157" s="19"/>
      <c r="S157" s="19"/>
      <c r="T157" s="19"/>
      <c r="U157" s="19"/>
      <c r="V157" s="15" t="str">
        <f t="shared" ca="1" si="4"/>
        <v>—</v>
      </c>
    </row>
    <row r="158" spans="1:22" ht="38" customHeight="1" x14ac:dyDescent="0.3">
      <c r="A158" s="15">
        <f>IF('تحليل الفجوة'!$R158="نعم",COUNTIF('تحليل الفجوة'!$R$4:'تحليل الفجوة'!$R158,"نعم"),"—")</f>
        <v>81</v>
      </c>
      <c r="B158" s="15" t="str">
        <f>'تحليل الفجوة'!$R158</f>
        <v>نعم</v>
      </c>
      <c r="C158" s="17" t="str">
        <f>IF($B158="لا","",'تحليل الفجوة'!$B158)</f>
        <v>ISO 10004:2018</v>
      </c>
      <c r="D158" s="17" t="str">
        <f>IF($B158="لا","",'تحليل الفجوة'!$C158)</f>
        <v>8</v>
      </c>
      <c r="E158" s="18" t="str">
        <f>IF($B158="لا","",'تحليل الفجوة'!$D158)</f>
        <v>الصيانة والتحسين</v>
      </c>
      <c r="F158" s="17" t="str">
        <f>IF($B158="لا","",'تحليل الفجوة'!$S158)</f>
        <v>تحليل فجوة</v>
      </c>
      <c r="G158" s="17" t="str">
        <f>IF($B158="لا","",'تحليل الفجوة'!$J158)</f>
        <v>مطبق جزئياً</v>
      </c>
      <c r="H158" s="17" t="str">
        <f>IF($B158="لا","",'تحليل الفجوة'!$N158)</f>
        <v>مطابق</v>
      </c>
      <c r="I158" s="17" t="str">
        <f>IF($B158="لا","",'تحليل الفجوة'!$T158)</f>
        <v>متوسطة</v>
      </c>
      <c r="J158" s="18" t="str">
        <f>IF($B158="لا","",'تحليل الفجوة'!$O158)</f>
        <v>الدورية غير منضبطة ولا يوجد تذكير أو مالك للمتابعة</v>
      </c>
      <c r="K158" s="18" t="str">
        <f>IF($B158="لا","",'تحليل الفجوة'!$H158)</f>
        <v>IMT-ISE-SH-PRO-006</v>
      </c>
      <c r="L158" s="13" t="s">
        <v>681</v>
      </c>
      <c r="M158" s="10" t="s">
        <v>110</v>
      </c>
      <c r="N158" s="10" t="s">
        <v>114</v>
      </c>
      <c r="O158" s="10" t="s">
        <v>79</v>
      </c>
      <c r="P158" s="16">
        <v>46228</v>
      </c>
      <c r="Q158" s="16">
        <v>46348</v>
      </c>
      <c r="R158" s="11" t="s">
        <v>90</v>
      </c>
      <c r="S158" s="11">
        <v>100</v>
      </c>
      <c r="T158" s="10" t="s">
        <v>91</v>
      </c>
      <c r="U158" s="16">
        <v>46342</v>
      </c>
      <c r="V158" s="15" t="str">
        <f t="shared" ca="1" si="4"/>
        <v>مغلق</v>
      </c>
    </row>
    <row r="159" spans="1:22" ht="38" customHeight="1" x14ac:dyDescent="0.3">
      <c r="A159" s="15">
        <f>IF('تحليل الفجوة'!$R159="نعم",COUNTIF('تحليل الفجوة'!$R$4:'تحليل الفجوة'!$R159,"نعم"),"—")</f>
        <v>82</v>
      </c>
      <c r="B159" s="15" t="str">
        <f>'تحليل الفجوة'!$R159</f>
        <v>نعم</v>
      </c>
      <c r="C159" s="17" t="str">
        <f>IF($B159="لا","",'تحليل الفجوة'!$B159)</f>
        <v>ISO 10004:2018</v>
      </c>
      <c r="D159" s="17" t="str">
        <f>IF($B159="لا","",'تحليل الفجوة'!$C159)</f>
        <v>الملحق A</v>
      </c>
      <c r="E159" s="18" t="str">
        <f>IF($B159="لا","",'تحليل الفجوة'!$D159)</f>
        <v>العلاقة البينية بين المواصفات الأربع</v>
      </c>
      <c r="F159" s="17" t="str">
        <f>IF($B159="لا","",'تحليل الفجوة'!$S159)</f>
        <v>تحليل فجوة</v>
      </c>
      <c r="G159" s="17" t="str">
        <f>IF($B159="لا","",'تحليل الفجوة'!$J159)</f>
        <v>مطبق جزئياً</v>
      </c>
      <c r="H159" s="17" t="str">
        <f>IF($B159="لا","",'تحليل الفجوة'!$N159)</f>
        <v>ملاحظة</v>
      </c>
      <c r="I159" s="17" t="str">
        <f>IF($B159="لا","",'تحليل الفجوة'!$T159)</f>
        <v>منخفضة</v>
      </c>
      <c r="J159" s="18" t="str">
        <f>IF($B159="لا","",'تحليل الفجوة'!$O159)</f>
        <v>التطبيق قائم على أشخاص لا على إجراء — ينهار بتغيّر الموظف</v>
      </c>
      <c r="K159" s="18" t="str">
        <f>IF($B159="لا","",'تحليل الفجوة'!$H159)</f>
        <v>IMT-ISE-IM-PLN-000</v>
      </c>
      <c r="L159" s="13" t="s">
        <v>681</v>
      </c>
      <c r="M159" s="10" t="s">
        <v>110</v>
      </c>
      <c r="N159" s="10" t="s">
        <v>114</v>
      </c>
      <c r="O159" s="10" t="s">
        <v>112</v>
      </c>
      <c r="P159" s="16">
        <v>46229</v>
      </c>
      <c r="Q159" s="16">
        <v>46349</v>
      </c>
      <c r="R159" s="11" t="s">
        <v>70</v>
      </c>
      <c r="S159" s="11">
        <v>0</v>
      </c>
      <c r="T159" s="10" t="s">
        <v>71</v>
      </c>
      <c r="U159" s="16"/>
      <c r="V159" s="15" t="str">
        <f t="shared" ca="1" si="4"/>
        <v>ضمن المدة</v>
      </c>
    </row>
    <row r="160" spans="1:22" ht="38" customHeight="1" x14ac:dyDescent="0.3">
      <c r="A160" s="15">
        <f>IF('تحليل الفجوة'!$R160="نعم",COUNTIF('تحليل الفجوة'!$R$4:'تحليل الفجوة'!$R160,"نعم"),"—")</f>
        <v>83</v>
      </c>
      <c r="B160" s="15" t="str">
        <f>'تحليل الفجوة'!$R160</f>
        <v>نعم</v>
      </c>
      <c r="C160" s="17" t="str">
        <f>IF($B160="لا","",'تحليل الفجوة'!$B160)</f>
        <v>ISO 10004:2018</v>
      </c>
      <c r="D160" s="17" t="str">
        <f>IF($B160="لا","",'تحليل الفجوة'!$C160)</f>
        <v>الملحق B</v>
      </c>
      <c r="E160" s="18" t="str">
        <f>IF($B160="لا","",'تحليل الفجوة'!$D160)</f>
        <v>النموذج المفاهيمي لرضا العميل</v>
      </c>
      <c r="F160" s="17" t="str">
        <f>IF($B160="لا","",'تحليل الفجوة'!$S160)</f>
        <v>تحليل فجوة</v>
      </c>
      <c r="G160" s="17" t="str">
        <f>IF($B160="لا","",'تحليل الفجوة'!$J160)</f>
        <v>مطبق جزئياً</v>
      </c>
      <c r="H160" s="17" t="str">
        <f>IF($B160="لا","",'تحليل الفجوة'!$N160)</f>
        <v>ملاحظة</v>
      </c>
      <c r="I160" s="17" t="str">
        <f>IF($B160="لا","",'تحليل الفجوة'!$T160)</f>
        <v>منخفضة</v>
      </c>
      <c r="J160" s="18" t="str">
        <f>IF($B160="لا","",'تحليل الفجوة'!$O160)</f>
        <v>الوثيقة موجودة والسجل غير مفعَّل — الفجوة في التشغيل لا في التوثيق</v>
      </c>
      <c r="K160" s="18" t="str">
        <f>IF($B160="لا","",'تحليل الفجوة'!$H160)</f>
        <v>IMT-ISE-CS-MTH-001</v>
      </c>
      <c r="L160" s="13" t="s">
        <v>677</v>
      </c>
      <c r="M160" s="10" t="s">
        <v>87</v>
      </c>
      <c r="N160" s="10" t="s">
        <v>105</v>
      </c>
      <c r="O160" s="10" t="s">
        <v>112</v>
      </c>
      <c r="P160" s="16">
        <v>46249</v>
      </c>
      <c r="Q160" s="16">
        <v>46289</v>
      </c>
      <c r="R160" s="11" t="s">
        <v>80</v>
      </c>
      <c r="S160" s="11">
        <v>75</v>
      </c>
      <c r="T160" s="10" t="s">
        <v>81</v>
      </c>
      <c r="U160" s="16"/>
      <c r="V160" s="15" t="str">
        <f t="shared" ca="1" si="4"/>
        <v>ضمن المدة</v>
      </c>
    </row>
    <row r="161" spans="1:22" ht="38" hidden="1" customHeight="1" x14ac:dyDescent="0.3">
      <c r="A161" s="15" t="str">
        <f>IF('تحليل الفجوة'!$R161="نعم",COUNTIF('تحليل الفجوة'!$R$4:'تحليل الفجوة'!$R161,"نعم"),"—")</f>
        <v>—</v>
      </c>
      <c r="B161" s="15" t="str">
        <f>'تحليل الفجوة'!$R161</f>
        <v>لا</v>
      </c>
      <c r="C161" s="17" t="str">
        <f>IF($B161="لا","",'تحليل الفجوة'!$B161)</f>
        <v/>
      </c>
      <c r="D161" s="17" t="str">
        <f>IF($B161="لا","",'تحليل الفجوة'!$C161)</f>
        <v/>
      </c>
      <c r="E161" s="18" t="str">
        <f>IF($B161="لا","",'تحليل الفجوة'!$D161)</f>
        <v/>
      </c>
      <c r="F161" s="17" t="str">
        <f>IF($B161="لا","",'تحليل الفجوة'!$S161)</f>
        <v/>
      </c>
      <c r="G161" s="17" t="str">
        <f>IF($B161="لا","",'تحليل الفجوة'!$J161)</f>
        <v/>
      </c>
      <c r="H161" s="17" t="str">
        <f>IF($B161="لا","",'تحليل الفجوة'!$N161)</f>
        <v/>
      </c>
      <c r="I161" s="17" t="str">
        <f>IF($B161="لا","",'تحليل الفجوة'!$T161)</f>
        <v/>
      </c>
      <c r="J161" s="18" t="str">
        <f>IF($B161="لا","",'تحليل الفجوة'!$O161)</f>
        <v/>
      </c>
      <c r="K161" s="18" t="str">
        <f>IF($B161="لا","",'تحليل الفجوة'!$H161)</f>
        <v/>
      </c>
      <c r="L161" s="19"/>
      <c r="M161" s="19"/>
      <c r="N161" s="19"/>
      <c r="O161" s="19"/>
      <c r="P161" s="19"/>
      <c r="Q161" s="19"/>
      <c r="R161" s="19"/>
      <c r="S161" s="19"/>
      <c r="T161" s="19"/>
      <c r="U161" s="19"/>
      <c r="V161" s="15" t="str">
        <f t="shared" ca="1" si="4"/>
        <v>—</v>
      </c>
    </row>
    <row r="162" spans="1:22" ht="38" customHeight="1" x14ac:dyDescent="0.3">
      <c r="A162" s="15">
        <f>IF('تحليل الفجوة'!$R162="نعم",COUNTIF('تحليل الفجوة'!$R$4:'تحليل الفجوة'!$R162,"نعم"),"—")</f>
        <v>84</v>
      </c>
      <c r="B162" s="15" t="str">
        <f>'تحليل الفجوة'!$R162</f>
        <v>نعم</v>
      </c>
      <c r="C162" s="17" t="str">
        <f>IF($B162="لا","",'تحليل الفجوة'!$B162)</f>
        <v>ISO 10004:2018</v>
      </c>
      <c r="D162" s="17" t="str">
        <f>IF($B162="لا","",'تحليل الفجوة'!$C162)</f>
        <v>الملحق D</v>
      </c>
      <c r="E162" s="18" t="str">
        <f>IF($B162="لا","",'تحليل الفجوة'!$D162)</f>
        <v>القياس المباشر لرضا العميل</v>
      </c>
      <c r="F162" s="17" t="str">
        <f>IF($B162="لا","",'تحليل الفجوة'!$S162)</f>
        <v>تحليل فجوة + تدقيق</v>
      </c>
      <c r="G162" s="17" t="str">
        <f>IF($B162="لا","",'تحليل الفجوة'!$J162)</f>
        <v>غير مطبق</v>
      </c>
      <c r="H162" s="17" t="str">
        <f>IF($B162="لا","",'تحليل الفجوة'!$N162)</f>
        <v>عدم مطابقة كبرى</v>
      </c>
      <c r="I162" s="17" t="str">
        <f>IF($B162="لا","",'تحليل الفجوة'!$T162)</f>
        <v>حرجة</v>
      </c>
      <c r="J162" s="18" t="str">
        <f>IF($B162="لا","",'تحليل الفجوة'!$O162)</f>
        <v>لم تُعرَّف الأدوار والمسؤوليات لهذا البند</v>
      </c>
      <c r="K162" s="18" t="str">
        <f>IF($B162="لا","",'تحليل الفجوة'!$H162)</f>
        <v>IMT-ISE-CS-TMP-001</v>
      </c>
      <c r="L162" s="13" t="s">
        <v>680</v>
      </c>
      <c r="M162" s="10" t="s">
        <v>77</v>
      </c>
      <c r="N162" s="10" t="s">
        <v>88</v>
      </c>
      <c r="O162" s="10" t="s">
        <v>106</v>
      </c>
      <c r="P162" s="16">
        <v>46254</v>
      </c>
      <c r="Q162" s="16">
        <v>46329</v>
      </c>
      <c r="R162" s="11" t="s">
        <v>70</v>
      </c>
      <c r="S162" s="11">
        <v>0</v>
      </c>
      <c r="T162" s="10" t="s">
        <v>71</v>
      </c>
      <c r="U162" s="16"/>
      <c r="V162" s="15" t="str">
        <f t="shared" ca="1" si="4"/>
        <v>ضمن المدة</v>
      </c>
    </row>
    <row r="163" spans="1:22" ht="38" hidden="1" customHeight="1" x14ac:dyDescent="0.3">
      <c r="A163" s="15" t="str">
        <f>IF('تحليل الفجوة'!$R163="نعم",COUNTIF('تحليل الفجوة'!$R$4:'تحليل الفجوة'!$R163,"نعم"),"—")</f>
        <v>—</v>
      </c>
      <c r="B163" s="15" t="str">
        <f>'تحليل الفجوة'!$R163</f>
        <v>لا</v>
      </c>
      <c r="C163" s="17" t="str">
        <f>IF($B163="لا","",'تحليل الفجوة'!$B163)</f>
        <v/>
      </c>
      <c r="D163" s="17" t="str">
        <f>IF($B163="لا","",'تحليل الفجوة'!$C163)</f>
        <v/>
      </c>
      <c r="E163" s="18" t="str">
        <f>IF($B163="لا","",'تحليل الفجوة'!$D163)</f>
        <v/>
      </c>
      <c r="F163" s="17" t="str">
        <f>IF($B163="لا","",'تحليل الفجوة'!$S163)</f>
        <v/>
      </c>
      <c r="G163" s="17" t="str">
        <f>IF($B163="لا","",'تحليل الفجوة'!$J163)</f>
        <v/>
      </c>
      <c r="H163" s="17" t="str">
        <f>IF($B163="لا","",'تحليل الفجوة'!$N163)</f>
        <v/>
      </c>
      <c r="I163" s="17" t="str">
        <f>IF($B163="لا","",'تحليل الفجوة'!$T163)</f>
        <v/>
      </c>
      <c r="J163" s="18" t="str">
        <f>IF($B163="لا","",'تحليل الفجوة'!$O163)</f>
        <v/>
      </c>
      <c r="K163" s="18" t="str">
        <f>IF($B163="لا","",'تحليل الفجوة'!$H163)</f>
        <v/>
      </c>
      <c r="L163" s="19"/>
      <c r="M163" s="19"/>
      <c r="N163" s="19"/>
      <c r="O163" s="19"/>
      <c r="P163" s="19"/>
      <c r="Q163" s="19"/>
      <c r="R163" s="19"/>
      <c r="S163" s="19"/>
      <c r="T163" s="19"/>
      <c r="U163" s="19"/>
      <c r="V163" s="15" t="str">
        <f t="shared" ca="1" si="4"/>
        <v>—</v>
      </c>
    </row>
    <row r="164" spans="1:22" ht="38" customHeight="1" x14ac:dyDescent="0.3">
      <c r="A164" s="15">
        <f>IF('تحليل الفجوة'!$R164="نعم",COUNTIF('تحليل الفجوة'!$R$4:'تحليل الفجوة'!$R164,"نعم"),"—")</f>
        <v>85</v>
      </c>
      <c r="B164" s="15" t="str">
        <f>'تحليل الفجوة'!$R164</f>
        <v>نعم</v>
      </c>
      <c r="C164" s="17" t="str">
        <f>IF($B164="لا","",'تحليل الفجوة'!$B164)</f>
        <v>ISO 10004:2018</v>
      </c>
      <c r="D164" s="17" t="str">
        <f>IF($B164="لا","",'تحليل الفجوة'!$C164)</f>
        <v>الملحق F</v>
      </c>
      <c r="E164" s="18" t="str">
        <f>IF($B164="لا","",'تحليل الفجوة'!$D164)</f>
        <v>استخدام معلومات رضا العميل</v>
      </c>
      <c r="F164" s="17" t="str">
        <f>IF($B164="لا","",'تحليل الفجوة'!$S164)</f>
        <v>تحليل فجوة + تدقيق</v>
      </c>
      <c r="G164" s="17" t="str">
        <f>IF($B164="لا","",'تحليل الفجوة'!$J164)</f>
        <v>غير مطبق</v>
      </c>
      <c r="H164" s="17" t="str">
        <f>IF($B164="لا","",'تحليل الفجوة'!$N164)</f>
        <v>عدم مطابقة صغرى</v>
      </c>
      <c r="I164" s="17" t="str">
        <f>IF($B164="لا","",'تحليل الفجوة'!$T164)</f>
        <v>عالية</v>
      </c>
      <c r="J164" s="18" t="str">
        <f>IF($B164="لا","",'تحليل الفجوة'!$O164)</f>
        <v>لم تُعرَّف الأدوار والمسؤوليات لهذا البند</v>
      </c>
      <c r="K164" s="18" t="str">
        <f>IF($B164="لا","",'تحليل الفجوة'!$H164)</f>
        <v>IMT-ISE-CS-WKS-001</v>
      </c>
      <c r="L164" s="13" t="s">
        <v>682</v>
      </c>
      <c r="M164" s="10" t="s">
        <v>67</v>
      </c>
      <c r="N164" s="10" t="s">
        <v>105</v>
      </c>
      <c r="O164" s="10" t="s">
        <v>98</v>
      </c>
      <c r="P164" s="16">
        <v>46245</v>
      </c>
      <c r="Q164" s="16">
        <v>46290</v>
      </c>
      <c r="R164" s="11" t="s">
        <v>90</v>
      </c>
      <c r="S164" s="11">
        <v>100</v>
      </c>
      <c r="T164" s="10" t="s">
        <v>91</v>
      </c>
      <c r="U164" s="16">
        <v>46284</v>
      </c>
      <c r="V164" s="15" t="str">
        <f t="shared" ca="1" si="4"/>
        <v>مغلق</v>
      </c>
    </row>
  </sheetData>
  <autoFilter ref="A3:V164" xr:uid="{00000000-0009-0000-0000-000004000000}"/>
  <mergeCells count="2">
    <mergeCell ref="A2:V2"/>
    <mergeCell ref="A1:V1"/>
  </mergeCells>
  <conditionalFormatting sqref="B4:B164">
    <cfRule type="cellIs" dxfId="92" priority="28" operator="equal">
      <formula>"لا"</formula>
    </cfRule>
    <cfRule type="cellIs" dxfId="91" priority="27" operator="equal">
      <formula>"نعم"</formula>
    </cfRule>
  </conditionalFormatting>
  <conditionalFormatting sqref="F4:F164">
    <cfRule type="cellIs" dxfId="90" priority="29" operator="equal">
      <formula>"تحليل فجوة"</formula>
    </cfRule>
    <cfRule type="cellIs" dxfId="89" priority="31" operator="equal">
      <formula>"تحليل فجوة + تدقيق"</formula>
    </cfRule>
    <cfRule type="cellIs" dxfId="88" priority="30" operator="equal">
      <formula>"تدقيق داخلي"</formula>
    </cfRule>
  </conditionalFormatting>
  <conditionalFormatting sqref="G4:G164">
    <cfRule type="cellIs" dxfId="87" priority="32" operator="equal">
      <formula>"غير مطبق"</formula>
    </cfRule>
    <cfRule type="cellIs" dxfId="86" priority="34" operator="equal">
      <formula>"مطبق كلياً"</formula>
    </cfRule>
    <cfRule type="cellIs" dxfId="85" priority="33" operator="equal">
      <formula>"مطبق جزئياً"</formula>
    </cfRule>
  </conditionalFormatting>
  <conditionalFormatting sqref="H4:H164">
    <cfRule type="cellIs" dxfId="84" priority="39" operator="equal">
      <formula>"مطابق"</formula>
    </cfRule>
    <cfRule type="cellIs" dxfId="83" priority="38" operator="equal">
      <formula>"فرصة تحسين"</formula>
    </cfRule>
    <cfRule type="cellIs" dxfId="82" priority="37" operator="equal">
      <formula>"ملاحظة"</formula>
    </cfRule>
    <cfRule type="cellIs" dxfId="81" priority="36" operator="equal">
      <formula>"عدم مطابقة صغرى"</formula>
    </cfRule>
    <cfRule type="cellIs" dxfId="80" priority="35" operator="equal">
      <formula>"عدم مطابقة كبرى"</formula>
    </cfRule>
  </conditionalFormatting>
  <conditionalFormatting sqref="I4:I164">
    <cfRule type="cellIs" dxfId="79" priority="42" operator="equal">
      <formula>"متوسطة"</formula>
    </cfRule>
    <cfRule type="cellIs" dxfId="78" priority="43" operator="equal">
      <formula>"منخفضة"</formula>
    </cfRule>
    <cfRule type="cellIs" dxfId="77" priority="41" operator="equal">
      <formula>"عالية"</formula>
    </cfRule>
    <cfRule type="cellIs" dxfId="76" priority="40" operator="equal">
      <formula>"حرجة"</formula>
    </cfRule>
  </conditionalFormatting>
  <conditionalFormatting sqref="M4:M164">
    <cfRule type="cellIs" dxfId="75" priority="1" operator="equal">
      <formula>"إجراء تصحيحي"</formula>
    </cfRule>
    <cfRule type="cellIs" dxfId="74" priority="2" operator="equal">
      <formula>"بناء وثيقة"</formula>
    </cfRule>
    <cfRule type="cellIs" dxfId="73" priority="3" operator="equal">
      <formula>"تعديل وثيقة"</formula>
    </cfRule>
    <cfRule type="cellIs" dxfId="72" priority="4" operator="equal">
      <formula>"تدريب وتوعية"</formula>
    </cfRule>
    <cfRule type="cellIs" dxfId="71" priority="5" operator="equal">
      <formula>"تعديل نظام إلكتروني"</formula>
    </cfRule>
    <cfRule type="cellIs" dxfId="70" priority="6" operator="equal">
      <formula>"تحسين مستمر"</formula>
    </cfRule>
  </conditionalFormatting>
  <conditionalFormatting sqref="O4:O164">
    <cfRule type="cellIs" dxfId="69" priority="7" operator="equal">
      <formula>"م. سارة الحربي"</formula>
    </cfRule>
    <cfRule type="cellIs" dxfId="68" priority="12" operator="equal">
      <formula>"م. عبدالله الزهراني"</formula>
    </cfRule>
    <cfRule type="cellIs" dxfId="67" priority="11" operator="equal">
      <formula>"أ. ريم القحطاني"</formula>
    </cfRule>
    <cfRule type="cellIs" dxfId="66" priority="10" operator="equal">
      <formula>"م. فيصل الدوسري"</formula>
    </cfRule>
    <cfRule type="cellIs" dxfId="65" priority="9" operator="equal">
      <formula>"أ. نورة الشمري"</formula>
    </cfRule>
    <cfRule type="cellIs" dxfId="64" priority="8" operator="equal">
      <formula>"أ. خالد العتيبي"</formula>
    </cfRule>
  </conditionalFormatting>
  <conditionalFormatting sqref="R4:R164">
    <cfRule type="cellIs" dxfId="63" priority="17" operator="equal">
      <formula>"مؤجل"</formula>
    </cfRule>
    <cfRule type="cellIs" dxfId="62" priority="16" operator="equal">
      <formula>"متوقف"</formula>
    </cfRule>
    <cfRule type="cellIs" dxfId="61" priority="15" operator="equal">
      <formula>"مكتمل"</formula>
    </cfRule>
    <cfRule type="cellIs" dxfId="60" priority="14" operator="equal">
      <formula>"جارٍ التنفيذ"</formula>
    </cfRule>
    <cfRule type="cellIs" dxfId="59" priority="13" operator="equal">
      <formula>"لم يبدأ"</formula>
    </cfRule>
  </conditionalFormatting>
  <conditionalFormatting sqref="S4:S164">
    <cfRule type="cellIs" dxfId="58" priority="22" operator="equal">
      <formula>"100"</formula>
    </cfRule>
    <cfRule type="cellIs" dxfId="57" priority="21" operator="equal">
      <formula>"75"</formula>
    </cfRule>
    <cfRule type="cellIs" dxfId="56" priority="20" operator="equal">
      <formula>"50"</formula>
    </cfRule>
    <cfRule type="cellIs" dxfId="55" priority="18" operator="equal">
      <formula>"0"</formula>
    </cfRule>
    <cfRule type="cellIs" dxfId="54" priority="19" operator="equal">
      <formula>"25"</formula>
    </cfRule>
  </conditionalFormatting>
  <conditionalFormatting sqref="T4:T164">
    <cfRule type="cellIs" dxfId="53" priority="25" operator="equal">
      <formula>"فعّال"</formula>
    </cfRule>
    <cfRule type="cellIs" dxfId="52" priority="26" operator="equal">
      <formula>"غير فعّال"</formula>
    </cfRule>
    <cfRule type="cellIs" dxfId="51" priority="23" operator="equal">
      <formula>"لم يُتحقق"</formula>
    </cfRule>
    <cfRule type="cellIs" dxfId="50" priority="24" operator="equal">
      <formula>"قيد المتابعة"</formula>
    </cfRule>
  </conditionalFormatting>
  <conditionalFormatting sqref="V4:V164">
    <cfRule type="cellIs" dxfId="49" priority="44" operator="equal">
      <formula>"متأخر"</formula>
    </cfRule>
    <cfRule type="cellIs" dxfId="48" priority="45" operator="equal">
      <formula>"ضمن المدة"</formula>
    </cfRule>
    <cfRule type="cellIs" dxfId="47" priority="46" operator="equal">
      <formula>"مغلق"</formula>
    </cfRule>
    <cfRule type="cellIs" dxfId="46" priority="47" operator="equal">
      <formula>"—"</formula>
    </cfRule>
  </conditionalFormatting>
  <dataValidations count="6">
    <dataValidation type="list" allowBlank="1" sqref="M4:M164" xr:uid="{00000000-0002-0000-0400-000000000000}">
      <formula1>"إجراء تصحيحي,بناء وثيقة,تعديل وثيقة,تدريب وتوعية,تعديل نظام إلكتروني,تحسين مستمر"</formula1>
    </dataValidation>
    <dataValidation type="list" allowBlank="1" sqref="N4:N164" xr:uid="{00000000-0002-0000-0400-000001000000}">
      <formula1>"إدارة التطوير المؤسسي,إدارة الجودة والتميز,إدارة خدمة المستفيدين,إدارة الشكاوى والتظلمات,إدارة التحول الرقمي,إدارة الاتصال المؤسسي,إدارة الموارد البشرية,إدارة التخطيط والأداء,إدارة المراجعة الداخلية"</formula1>
    </dataValidation>
    <dataValidation type="list" allowBlank="1" sqref="O4:O164" xr:uid="{00000000-0002-0000-0400-000002000000}">
      <formula1>"م. سارة الحربي,أ. خالد العتيبي,أ. نورة الشمري,م. فيصل الدوسري,أ. ريم القحطاني,م. عبدالله الزهراني"</formula1>
    </dataValidation>
    <dataValidation type="list" allowBlank="1" sqref="R4:R164" xr:uid="{00000000-0002-0000-0400-000003000000}">
      <formula1>"لم يبدأ,جارٍ التنفيذ,مكتمل,متوقف,مؤجل"</formula1>
    </dataValidation>
    <dataValidation type="list" allowBlank="1" sqref="S4:S164" xr:uid="{00000000-0002-0000-0400-000004000000}">
      <formula1>"0,25,50,75,100"</formula1>
    </dataValidation>
    <dataValidation type="list" allowBlank="1" sqref="T4:T164" xr:uid="{00000000-0002-0000-0400-000005000000}">
      <formula1>"لم يُتحقق,قيد المتابعة,فعّال,غير فعّال"</formula1>
    </dataValidation>
  </dataValidations>
  <printOptions horizontalCentered="1"/>
  <pageMargins left="0.25" right="0.25" top="0.4" bottom="0.4" header="0.2" footer="0.2"/>
  <pageSetup paperSize="8" fitToHeight="0" orientation="landscape"/>
  <headerFooter>
    <oddFooter>&amp;C&amp;8 &amp;K808080امتثال · Imtithal — IMT-ISE-IM-TMP-001 v1.0  ·  صفحة &amp;P من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2EA67A"/>
    <pageSetUpPr fitToPage="1"/>
  </sheetPr>
  <dimension ref="A1:K27"/>
  <sheetViews>
    <sheetView rightToLeft="1" workbookViewId="0">
      <pane ySplit="3" topLeftCell="A4" activePane="bottomLeft" state="frozen"/>
      <selection pane="bottomLeft" sqref="A1:K1"/>
    </sheetView>
  </sheetViews>
  <sheetFormatPr defaultRowHeight="14" x14ac:dyDescent="0.3"/>
  <cols>
    <col min="1" max="1" width="5" customWidth="1"/>
    <col min="2" max="2" width="14" customWidth="1"/>
    <col min="3" max="3" width="17" customWidth="1"/>
    <col min="4" max="4" width="10" customWidth="1"/>
    <col min="5" max="5" width="38" customWidth="1"/>
    <col min="6" max="6" width="20" customWidth="1"/>
    <col min="7" max="7" width="42" customWidth="1"/>
    <col min="8" max="8" width="26" customWidth="1"/>
    <col min="9" max="9" width="12" customWidth="1"/>
    <col min="10" max="10" width="17" customWidth="1"/>
    <col min="11" max="11" width="14" customWidth="1"/>
  </cols>
  <sheetData>
    <row r="1" spans="1:11" ht="26" customHeight="1" x14ac:dyDescent="0.3">
      <c r="A1" s="35" t="s">
        <v>683</v>
      </c>
      <c r="B1" s="29"/>
      <c r="C1" s="29"/>
      <c r="D1" s="29"/>
      <c r="E1" s="29"/>
      <c r="F1" s="29"/>
      <c r="G1" s="29"/>
      <c r="H1" s="29"/>
      <c r="I1" s="29"/>
      <c r="J1" s="29"/>
      <c r="K1" s="29"/>
    </row>
    <row r="2" spans="1:11" ht="26" customHeight="1" x14ac:dyDescent="0.3">
      <c r="A2" s="36" t="s">
        <v>684</v>
      </c>
      <c r="B2" s="29"/>
      <c r="C2" s="29"/>
      <c r="D2" s="29"/>
      <c r="E2" s="29"/>
      <c r="F2" s="29"/>
      <c r="G2" s="29"/>
      <c r="H2" s="29"/>
      <c r="I2" s="29"/>
      <c r="J2" s="29"/>
      <c r="K2" s="29"/>
    </row>
    <row r="3" spans="1:11" ht="34" customHeight="1" x14ac:dyDescent="0.3">
      <c r="A3" s="8" t="s">
        <v>119</v>
      </c>
      <c r="B3" s="8" t="s">
        <v>685</v>
      </c>
      <c r="C3" s="8" t="s">
        <v>120</v>
      </c>
      <c r="D3" s="8" t="s">
        <v>686</v>
      </c>
      <c r="E3" s="8" t="s">
        <v>687</v>
      </c>
      <c r="F3" s="8" t="s">
        <v>688</v>
      </c>
      <c r="G3" s="8" t="s">
        <v>689</v>
      </c>
      <c r="H3" s="8" t="s">
        <v>690</v>
      </c>
      <c r="I3" s="8" t="s">
        <v>691</v>
      </c>
      <c r="J3" s="8" t="s">
        <v>692</v>
      </c>
      <c r="K3" s="8" t="s">
        <v>61</v>
      </c>
    </row>
    <row r="4" spans="1:11" ht="34" customHeight="1" x14ac:dyDescent="0.3">
      <c r="A4" s="11">
        <v>1</v>
      </c>
      <c r="B4" s="11" t="s">
        <v>693</v>
      </c>
      <c r="C4" s="10" t="s">
        <v>8</v>
      </c>
      <c r="D4" s="11" t="s">
        <v>136</v>
      </c>
      <c r="E4" s="18" t="str">
        <f>IFERROR(INDEX('تحليل الفجوة'!$D$4:$D$164,MATCH($C4&amp;"|"&amp;$D4,'تحليل الفجوة'!$U$4:$U$164,0)),"— لم يُطابَق")</f>
        <v>المقدمة — هرم التميز في الخدمات وسلسلة الأثر</v>
      </c>
      <c r="F4" s="10" t="s">
        <v>694</v>
      </c>
      <c r="G4" s="13" t="s">
        <v>142</v>
      </c>
      <c r="H4" s="13" t="s">
        <v>695</v>
      </c>
      <c r="I4" s="16">
        <v>46177</v>
      </c>
      <c r="J4" s="11" t="s">
        <v>79</v>
      </c>
      <c r="K4" s="10" t="s">
        <v>82</v>
      </c>
    </row>
    <row r="5" spans="1:11" ht="34" customHeight="1" x14ac:dyDescent="0.3">
      <c r="A5" s="11">
        <v>2</v>
      </c>
      <c r="B5" s="11" t="s">
        <v>696</v>
      </c>
      <c r="C5" s="10" t="s">
        <v>8</v>
      </c>
      <c r="D5" s="11" t="s">
        <v>191</v>
      </c>
      <c r="E5" s="18" t="str">
        <f>IFERROR(INDEX('تحليل الفجوة'!$D$4:$D$164,MATCH($C5&amp;"|"&amp;$D5,'تحليل الفجوة'!$U$4:$U$164,0)),"— لم يُطابَق")</f>
        <v>متطلبات القيادة والإدارة</v>
      </c>
      <c r="F5" s="10" t="s">
        <v>697</v>
      </c>
      <c r="G5" s="13" t="s">
        <v>160</v>
      </c>
      <c r="H5" s="13" t="s">
        <v>698</v>
      </c>
      <c r="I5" s="16">
        <v>46201</v>
      </c>
      <c r="J5" s="11" t="s">
        <v>79</v>
      </c>
      <c r="K5" s="10" t="s">
        <v>72</v>
      </c>
    </row>
    <row r="6" spans="1:11" ht="34" customHeight="1" x14ac:dyDescent="0.3">
      <c r="A6" s="11">
        <v>3</v>
      </c>
      <c r="B6" s="11" t="s">
        <v>699</v>
      </c>
      <c r="C6" s="10" t="s">
        <v>8</v>
      </c>
      <c r="D6" s="11" t="s">
        <v>223</v>
      </c>
      <c r="E6" s="18" t="str">
        <f>IFERROR(INDEX('تحليل الفجوة'!$D$4:$D$164,MATCH($C6&amp;"|"&amp;$D6,'تحليل الفجوة'!$U$4:$U$164,0)),"— لم يُطابَق")</f>
        <v>إدارة العمليات الكفؤة والفعالة المرتبطة بتجربة المستفيد والهيكل التنظيمي</v>
      </c>
      <c r="F6" s="10" t="s">
        <v>700</v>
      </c>
      <c r="G6" s="13" t="s">
        <v>228</v>
      </c>
      <c r="H6" s="13" t="s">
        <v>701</v>
      </c>
      <c r="I6" s="16">
        <v>46219</v>
      </c>
      <c r="J6" s="11" t="s">
        <v>98</v>
      </c>
      <c r="K6" s="10" t="s">
        <v>82</v>
      </c>
    </row>
    <row r="7" spans="1:11" ht="34" customHeight="1" x14ac:dyDescent="0.3">
      <c r="A7" s="11">
        <v>4</v>
      </c>
      <c r="B7" s="11" t="s">
        <v>702</v>
      </c>
      <c r="C7" s="10" t="s">
        <v>10</v>
      </c>
      <c r="D7" s="11" t="s">
        <v>246</v>
      </c>
      <c r="E7" s="18" t="str">
        <f>IFERROR(INDEX('تحليل الفجوة'!$D$4:$D$164,MATCH($C7&amp;"|"&amp;$D7,'تحليل الفجوة'!$U$4:$U$164,0)),"— لم يُطابَق")</f>
        <v>السعة</v>
      </c>
      <c r="F7" s="10" t="s">
        <v>703</v>
      </c>
      <c r="G7" s="13" t="s">
        <v>142</v>
      </c>
      <c r="H7" s="13" t="s">
        <v>704</v>
      </c>
      <c r="I7" s="16">
        <v>46194</v>
      </c>
      <c r="J7" s="11" t="s">
        <v>89</v>
      </c>
      <c r="K7" s="10" t="s">
        <v>92</v>
      </c>
    </row>
    <row r="8" spans="1:11" ht="34" customHeight="1" x14ac:dyDescent="0.3">
      <c r="A8" s="11">
        <v>5</v>
      </c>
      <c r="B8" s="11" t="s">
        <v>705</v>
      </c>
      <c r="C8" s="10" t="s">
        <v>10</v>
      </c>
      <c r="D8" s="11" t="s">
        <v>272</v>
      </c>
      <c r="E8" s="18" t="str">
        <f>IFERROR(INDEX('تحليل الفجوة'!$D$4:$D$164,MATCH($C8&amp;"|"&amp;$D8,'تحليل الفجوة'!$U$4:$U$164,0)),"— لم يُطابَق")</f>
        <v>التحسين</v>
      </c>
      <c r="F8" s="10" t="s">
        <v>706</v>
      </c>
      <c r="G8" s="13" t="s">
        <v>182</v>
      </c>
      <c r="H8" s="13" t="s">
        <v>707</v>
      </c>
      <c r="I8" s="16">
        <v>46212</v>
      </c>
      <c r="J8" s="11" t="s">
        <v>69</v>
      </c>
      <c r="K8" s="10" t="s">
        <v>72</v>
      </c>
    </row>
    <row r="9" spans="1:11" ht="34" customHeight="1" x14ac:dyDescent="0.3">
      <c r="A9" s="11">
        <v>6</v>
      </c>
      <c r="B9" s="11" t="s">
        <v>708</v>
      </c>
      <c r="C9" s="10" t="s">
        <v>10</v>
      </c>
      <c r="D9" s="11" t="s">
        <v>300</v>
      </c>
      <c r="E9" s="18" t="str">
        <f>IFERROR(INDEX('تحليل الفجوة'!$D$4:$D$164,MATCH($C9&amp;"|"&amp;$D9,'تحليل الفجوة'!$U$4:$U$164,0)),"— لم يُطابَق")</f>
        <v>إرساء الميثاق</v>
      </c>
      <c r="F9" s="10" t="s">
        <v>709</v>
      </c>
      <c r="G9" s="13" t="s">
        <v>216</v>
      </c>
      <c r="H9" s="13" t="s">
        <v>710</v>
      </c>
      <c r="I9" s="16">
        <v>46184</v>
      </c>
      <c r="J9" s="11" t="s">
        <v>89</v>
      </c>
      <c r="K9" s="10" t="s">
        <v>92</v>
      </c>
    </row>
    <row r="10" spans="1:11" ht="34" customHeight="1" x14ac:dyDescent="0.3">
      <c r="A10" s="11">
        <v>7</v>
      </c>
      <c r="B10" s="11" t="s">
        <v>711</v>
      </c>
      <c r="C10" s="10" t="s">
        <v>10</v>
      </c>
      <c r="D10" s="11" t="s">
        <v>321</v>
      </c>
      <c r="E10" s="18" t="str">
        <f>IFERROR(INDEX('تحليل الفجوة'!$D$4:$D$164,MATCH($C10&amp;"|"&amp;$D10,'تحليل الفجوة'!$U$4:$U$164,0)),"— لم يُطابَق")</f>
        <v>إعداد الميثاق</v>
      </c>
      <c r="F10" s="10" t="s">
        <v>694</v>
      </c>
      <c r="G10" s="13" t="s">
        <v>241</v>
      </c>
      <c r="H10" s="13" t="s">
        <v>712</v>
      </c>
      <c r="I10" s="16">
        <v>46199</v>
      </c>
      <c r="J10" s="11" t="s">
        <v>98</v>
      </c>
      <c r="K10" s="10" t="s">
        <v>72</v>
      </c>
    </row>
    <row r="11" spans="1:11" ht="34" customHeight="1" x14ac:dyDescent="0.3">
      <c r="A11" s="11">
        <v>8</v>
      </c>
      <c r="B11" s="11" t="s">
        <v>713</v>
      </c>
      <c r="C11" s="10" t="s">
        <v>10</v>
      </c>
      <c r="D11" s="11" t="s">
        <v>343</v>
      </c>
      <c r="E11" s="18" t="str">
        <f>IFERROR(INDEX('تحليل الفجوة'!$D$4:$D$164,MATCH($C11&amp;"|"&amp;$D11,'تحليل الفجوة'!$U$4:$U$164,0)),"— لم يُطابَق")</f>
        <v>تطبيق الميثاق</v>
      </c>
      <c r="F11" s="10" t="s">
        <v>697</v>
      </c>
      <c r="G11" s="13" t="s">
        <v>160</v>
      </c>
      <c r="H11" s="13" t="s">
        <v>695</v>
      </c>
      <c r="I11" s="16">
        <v>46214</v>
      </c>
      <c r="J11" s="11" t="s">
        <v>69</v>
      </c>
      <c r="K11" s="10" t="s">
        <v>72</v>
      </c>
    </row>
    <row r="12" spans="1:11" ht="34" customHeight="1" x14ac:dyDescent="0.3">
      <c r="A12" s="11">
        <v>9</v>
      </c>
      <c r="B12" s="11" t="s">
        <v>714</v>
      </c>
      <c r="C12" s="10" t="s">
        <v>10</v>
      </c>
      <c r="D12" s="11" t="s">
        <v>372</v>
      </c>
      <c r="E12" s="18" t="str">
        <f>IFERROR(INDEX('تحليل الفجوة'!$D$4:$D$164,MATCH($C12&amp;"|"&amp;$D12,'تحليل الفجوة'!$U$4:$U$164,0)),"— لم يُطابَق")</f>
        <v>أمثلة مبسطة لمكونات المواثيق</v>
      </c>
      <c r="F12" s="10" t="s">
        <v>700</v>
      </c>
      <c r="G12" s="13" t="s">
        <v>160</v>
      </c>
      <c r="H12" s="13" t="s">
        <v>698</v>
      </c>
      <c r="I12" s="16">
        <v>46186</v>
      </c>
      <c r="J12" s="11" t="s">
        <v>89</v>
      </c>
      <c r="K12" s="10" t="s">
        <v>72</v>
      </c>
    </row>
    <row r="13" spans="1:11" ht="34" customHeight="1" x14ac:dyDescent="0.3">
      <c r="A13" s="11">
        <v>10</v>
      </c>
      <c r="B13" s="11" t="s">
        <v>715</v>
      </c>
      <c r="C13" s="10" t="s">
        <v>10</v>
      </c>
      <c r="D13" s="11" t="s">
        <v>413</v>
      </c>
      <c r="E13" s="18" t="str">
        <f>IFERROR(INDEX('تحليل الفجوة'!$D$4:$D$164,MATCH($C13&amp;"|"&amp;$D13,'تحليل الفجوة'!$U$4:$U$164,0)),"— لم يُطابَق")</f>
        <v>إرشادات إعداد خطط التواصل</v>
      </c>
      <c r="F13" s="10" t="s">
        <v>703</v>
      </c>
      <c r="G13" s="13" t="s">
        <v>200</v>
      </c>
      <c r="H13" s="13" t="s">
        <v>701</v>
      </c>
      <c r="I13" s="16">
        <v>46210</v>
      </c>
      <c r="J13" s="11" t="s">
        <v>89</v>
      </c>
      <c r="K13" s="10" t="s">
        <v>92</v>
      </c>
    </row>
    <row r="14" spans="1:11" ht="34" customHeight="1" x14ac:dyDescent="0.3">
      <c r="A14" s="11">
        <v>11</v>
      </c>
      <c r="B14" s="11" t="s">
        <v>716</v>
      </c>
      <c r="C14" s="10" t="s">
        <v>12</v>
      </c>
      <c r="D14" s="11" t="s">
        <v>264</v>
      </c>
      <c r="E14" s="18" t="str">
        <f>IFERROR(INDEX('تحليل الفجوة'!$D$4:$D$164,MATCH($C14&amp;"|"&amp;$D14,'تحليل الفجوة'!$U$4:$U$164,0)),"— لم يُطابَق")</f>
        <v>الموضوعية</v>
      </c>
      <c r="F14" s="10" t="s">
        <v>706</v>
      </c>
      <c r="G14" s="13" t="s">
        <v>167</v>
      </c>
      <c r="H14" s="13" t="s">
        <v>704</v>
      </c>
      <c r="I14" s="16">
        <v>46194</v>
      </c>
      <c r="J14" s="11" t="s">
        <v>69</v>
      </c>
      <c r="K14" s="10" t="s">
        <v>72</v>
      </c>
    </row>
    <row r="15" spans="1:11" ht="34" customHeight="1" x14ac:dyDescent="0.3">
      <c r="A15" s="11">
        <v>12</v>
      </c>
      <c r="B15" s="11" t="s">
        <v>717</v>
      </c>
      <c r="C15" s="10" t="s">
        <v>12</v>
      </c>
      <c r="D15" s="11" t="s">
        <v>427</v>
      </c>
      <c r="E15" s="18" t="str">
        <f>IFERROR(INDEX('تحليل الفجوة'!$D$4:$D$164,MATCH($C15&amp;"|"&amp;$D15,'تحليل الفجوة'!$U$4:$U$164,0)),"— لم يُطابَق")</f>
        <v>الكفاءة</v>
      </c>
      <c r="F15" s="10" t="s">
        <v>709</v>
      </c>
      <c r="G15" s="13" t="s">
        <v>228</v>
      </c>
      <c r="H15" s="13" t="s">
        <v>707</v>
      </c>
      <c r="I15" s="16">
        <v>46215</v>
      </c>
      <c r="J15" s="11" t="s">
        <v>98</v>
      </c>
      <c r="K15" s="10" t="s">
        <v>92</v>
      </c>
    </row>
    <row r="16" spans="1:11" ht="34" customHeight="1" x14ac:dyDescent="0.3">
      <c r="A16" s="11">
        <v>13</v>
      </c>
      <c r="B16" s="11" t="s">
        <v>718</v>
      </c>
      <c r="C16" s="10" t="s">
        <v>12</v>
      </c>
      <c r="D16" s="11" t="s">
        <v>459</v>
      </c>
      <c r="E16" s="18" t="str">
        <f>IFERROR(INDEX('تحليل الفجوة'!$D$4:$D$164,MATCH($C16&amp;"|"&amp;$D16,'تحليل الفجوة'!$U$4:$U$164,0)),"— لم يُطابَق")</f>
        <v>تتبع الشكاوى</v>
      </c>
      <c r="F16" s="10" t="s">
        <v>694</v>
      </c>
      <c r="G16" s="13" t="s">
        <v>254</v>
      </c>
      <c r="H16" s="13" t="s">
        <v>710</v>
      </c>
      <c r="I16" s="16">
        <v>46205</v>
      </c>
      <c r="J16" s="11" t="s">
        <v>98</v>
      </c>
      <c r="K16" s="10" t="s">
        <v>72</v>
      </c>
    </row>
    <row r="17" spans="1:11" ht="34" customHeight="1" x14ac:dyDescent="0.3">
      <c r="A17" s="11">
        <v>14</v>
      </c>
      <c r="B17" s="11" t="s">
        <v>719</v>
      </c>
      <c r="C17" s="10" t="s">
        <v>12</v>
      </c>
      <c r="D17" s="11" t="s">
        <v>479</v>
      </c>
      <c r="E17" s="18" t="str">
        <f>IFERROR(INDEX('تحليل الفجوة'!$D$4:$D$164,MATCH($C17&amp;"|"&amp;$D17,'تحليل الفجوة'!$U$4:$U$164,0)),"— لم يُطابَق")</f>
        <v>إبلاغ القرار لمقدم الشكوى</v>
      </c>
      <c r="F17" s="10" t="s">
        <v>697</v>
      </c>
      <c r="G17" s="13" t="s">
        <v>182</v>
      </c>
      <c r="H17" s="13" t="s">
        <v>712</v>
      </c>
      <c r="I17" s="16">
        <v>46174</v>
      </c>
      <c r="J17" s="11" t="s">
        <v>69</v>
      </c>
      <c r="K17" s="10" t="s">
        <v>72</v>
      </c>
    </row>
    <row r="18" spans="1:11" ht="34" customHeight="1" x14ac:dyDescent="0.3">
      <c r="A18" s="11">
        <v>15</v>
      </c>
      <c r="B18" s="11" t="s">
        <v>720</v>
      </c>
      <c r="C18" s="10" t="s">
        <v>12</v>
      </c>
      <c r="D18" s="11" t="s">
        <v>500</v>
      </c>
      <c r="E18" s="18" t="str">
        <f>IFERROR(INDEX('تحليل الفجوة'!$D$4:$D$164,MATCH($C18&amp;"|"&amp;$D18,'تحليل الفجوة'!$U$4:$U$164,0)),"— لم يُطابَق")</f>
        <v>مراجعة الإدارة لعملية معالجة الشكاوى</v>
      </c>
      <c r="F18" s="10" t="s">
        <v>700</v>
      </c>
      <c r="G18" s="13" t="s">
        <v>182</v>
      </c>
      <c r="H18" s="13" t="s">
        <v>695</v>
      </c>
      <c r="I18" s="16">
        <v>46195</v>
      </c>
      <c r="J18" s="11" t="s">
        <v>98</v>
      </c>
      <c r="K18" s="10" t="s">
        <v>72</v>
      </c>
    </row>
    <row r="19" spans="1:11" ht="34" customHeight="1" x14ac:dyDescent="0.3">
      <c r="A19" s="11">
        <v>16</v>
      </c>
      <c r="B19" s="11" t="s">
        <v>721</v>
      </c>
      <c r="C19" s="10" t="s">
        <v>12</v>
      </c>
      <c r="D19" s="11" t="s">
        <v>389</v>
      </c>
      <c r="E19" s="18" t="str">
        <f>IFERROR(INDEX('تحليل الفجوة'!$D$4:$D$164,MATCH($C19&amp;"|"&amp;$D19,'تحليل الفجوة'!$U$4:$U$164,0)),"— لم يُطابَق")</f>
        <v>الموضوعية في معالجة الشكاوى</v>
      </c>
      <c r="F19" s="10" t="s">
        <v>703</v>
      </c>
      <c r="G19" s="13" t="s">
        <v>175</v>
      </c>
      <c r="H19" s="13" t="s">
        <v>698</v>
      </c>
      <c r="I19" s="16">
        <v>46210</v>
      </c>
      <c r="J19" s="11" t="s">
        <v>69</v>
      </c>
      <c r="K19" s="10" t="s">
        <v>92</v>
      </c>
    </row>
    <row r="20" spans="1:11" ht="34" customHeight="1" x14ac:dyDescent="0.3">
      <c r="A20" s="11">
        <v>17</v>
      </c>
      <c r="B20" s="11" t="s">
        <v>722</v>
      </c>
      <c r="C20" s="10" t="s">
        <v>12</v>
      </c>
      <c r="D20" s="11" t="s">
        <v>413</v>
      </c>
      <c r="E20" s="18" t="str">
        <f>IFERROR(INDEX('تحليل الفجوة'!$D$4:$D$164,MATCH($C20&amp;"|"&amp;$D20,'تحليل الفجوة'!$U$4:$U$164,0)),"— لم يُطابَق")</f>
        <v>المراقبة المستمرة</v>
      </c>
      <c r="F20" s="10" t="s">
        <v>706</v>
      </c>
      <c r="G20" s="13" t="s">
        <v>216</v>
      </c>
      <c r="H20" s="13" t="s">
        <v>701</v>
      </c>
      <c r="I20" s="16">
        <v>46179</v>
      </c>
      <c r="J20" s="11" t="s">
        <v>79</v>
      </c>
      <c r="K20" s="10" t="s">
        <v>82</v>
      </c>
    </row>
    <row r="21" spans="1:11" ht="34" customHeight="1" x14ac:dyDescent="0.3">
      <c r="A21" s="11">
        <v>18</v>
      </c>
      <c r="B21" s="11" t="s">
        <v>723</v>
      </c>
      <c r="C21" s="10" t="s">
        <v>14</v>
      </c>
      <c r="D21" s="11" t="s">
        <v>546</v>
      </c>
      <c r="E21" s="18" t="str">
        <f>IFERROR(INDEX('تحليل الفجوة'!$D$4:$D$164,MATCH($C21&amp;"|"&amp;$D21,'تحليل الفجوة'!$U$4:$U$164,0)),"— لم يُطابَق")</f>
        <v>الاستجابة</v>
      </c>
      <c r="F21" s="10" t="s">
        <v>709</v>
      </c>
      <c r="G21" s="13" t="s">
        <v>160</v>
      </c>
      <c r="H21" s="13" t="s">
        <v>704</v>
      </c>
      <c r="I21" s="16">
        <v>46212</v>
      </c>
      <c r="J21" s="11" t="s">
        <v>69</v>
      </c>
      <c r="K21" s="10" t="s">
        <v>72</v>
      </c>
    </row>
    <row r="22" spans="1:11" ht="34" customHeight="1" x14ac:dyDescent="0.3">
      <c r="A22" s="11">
        <v>19</v>
      </c>
      <c r="B22" s="11" t="s">
        <v>724</v>
      </c>
      <c r="C22" s="10" t="s">
        <v>14</v>
      </c>
      <c r="D22" s="11" t="s">
        <v>552</v>
      </c>
      <c r="E22" s="18" t="str">
        <f>IFERROR(INDEX('تحليل الفجوة'!$D$4:$D$164,MATCH($C22&amp;"|"&amp;$D22,'تحليل الفجوة'!$U$4:$U$164,0)),"— لم يُطابَق")</f>
        <v>الكفاءة</v>
      </c>
      <c r="F22" s="10" t="s">
        <v>694</v>
      </c>
      <c r="G22" s="13" t="s">
        <v>167</v>
      </c>
      <c r="H22" s="13" t="s">
        <v>707</v>
      </c>
      <c r="I22" s="16">
        <v>46184</v>
      </c>
      <c r="J22" s="11" t="s">
        <v>89</v>
      </c>
      <c r="K22" s="10" t="s">
        <v>72</v>
      </c>
    </row>
    <row r="23" spans="1:11" ht="34" customHeight="1" x14ac:dyDescent="0.3">
      <c r="A23" s="11">
        <v>20</v>
      </c>
      <c r="B23" s="11" t="s">
        <v>725</v>
      </c>
      <c r="C23" s="10" t="s">
        <v>14</v>
      </c>
      <c r="D23" s="11" t="s">
        <v>308</v>
      </c>
      <c r="E23" s="18" t="str">
        <f>IFERROR(INDEX('تحليل الفجوة'!$D$4:$D$164,MATCH($C23&amp;"|"&amp;$D23,'تحليل الفجوة'!$U$4:$U$164,0)),"— لم يُطابَق")</f>
        <v>تحديد الغرض والأهداف</v>
      </c>
      <c r="F23" s="10" t="s">
        <v>697</v>
      </c>
      <c r="G23" s="13" t="s">
        <v>254</v>
      </c>
      <c r="H23" s="13" t="s">
        <v>710</v>
      </c>
      <c r="I23" s="16">
        <v>46202</v>
      </c>
      <c r="J23" s="11" t="s">
        <v>69</v>
      </c>
      <c r="K23" s="10" t="s">
        <v>72</v>
      </c>
    </row>
    <row r="24" spans="1:11" ht="34" customHeight="1" x14ac:dyDescent="0.3">
      <c r="A24" s="11">
        <v>21</v>
      </c>
      <c r="B24" s="11" t="s">
        <v>726</v>
      </c>
      <c r="C24" s="10" t="s">
        <v>14</v>
      </c>
      <c r="D24" s="11" t="s">
        <v>195</v>
      </c>
      <c r="E24" s="18" t="str">
        <f>IFERROR(INDEX('تحليل الفجوة'!$D$4:$D$164,MATCH($C24&amp;"|"&amp;$D24,'تحليل الفجوة'!$U$4:$U$164,0)),"— لم يُطابَق")</f>
        <v>تحديد المستفيدين</v>
      </c>
      <c r="F24" s="10" t="s">
        <v>700</v>
      </c>
      <c r="G24" s="13" t="s">
        <v>175</v>
      </c>
      <c r="H24" s="13" t="s">
        <v>712</v>
      </c>
      <c r="I24" s="16">
        <v>46217</v>
      </c>
      <c r="J24" s="11" t="s">
        <v>79</v>
      </c>
      <c r="K24" s="10" t="s">
        <v>82</v>
      </c>
    </row>
    <row r="25" spans="1:11" ht="34" customHeight="1" x14ac:dyDescent="0.3">
      <c r="A25" s="11">
        <v>22</v>
      </c>
      <c r="B25" s="11" t="s">
        <v>727</v>
      </c>
      <c r="C25" s="10" t="s">
        <v>14</v>
      </c>
      <c r="D25" s="11" t="s">
        <v>230</v>
      </c>
      <c r="E25" s="18" t="str">
        <f>IFERROR(INDEX('تحليل الفجوة'!$D$4:$D$164,MATCH($C25&amp;"|"&amp;$D25,'تحليل الفجوة'!$U$4:$U$164,0)),"— لم يُطابَق")</f>
        <v>تحضير البيانات للتحليل</v>
      </c>
      <c r="F25" s="10" t="s">
        <v>703</v>
      </c>
      <c r="G25" s="13" t="s">
        <v>175</v>
      </c>
      <c r="H25" s="13" t="s">
        <v>695</v>
      </c>
      <c r="I25" s="16">
        <v>46192</v>
      </c>
      <c r="J25" s="11" t="s">
        <v>69</v>
      </c>
      <c r="K25" s="10" t="s">
        <v>92</v>
      </c>
    </row>
    <row r="26" spans="1:11" ht="34" customHeight="1" x14ac:dyDescent="0.3">
      <c r="A26" s="11">
        <v>23</v>
      </c>
      <c r="B26" s="11" t="s">
        <v>728</v>
      </c>
      <c r="C26" s="10" t="s">
        <v>14</v>
      </c>
      <c r="D26" s="11" t="s">
        <v>621</v>
      </c>
      <c r="E26" s="18" t="str">
        <f>IFERROR(INDEX('تحليل الفجوة'!$D$4:$D$164,MATCH($C26&amp;"|"&amp;$D26,'تحليل الفجوة'!$U$4:$U$164,0)),"— لم يُطابَق")</f>
        <v>عام — مراقبة رضا المستفيد</v>
      </c>
      <c r="F26" s="10" t="s">
        <v>706</v>
      </c>
      <c r="G26" s="13" t="s">
        <v>182</v>
      </c>
      <c r="H26" s="13" t="s">
        <v>698</v>
      </c>
      <c r="I26" s="16">
        <v>46210</v>
      </c>
      <c r="J26" s="11" t="s">
        <v>89</v>
      </c>
      <c r="K26" s="10" t="s">
        <v>72</v>
      </c>
    </row>
    <row r="27" spans="1:11" ht="34" customHeight="1" x14ac:dyDescent="0.3">
      <c r="A27" s="11">
        <v>24</v>
      </c>
      <c r="B27" s="11" t="s">
        <v>729</v>
      </c>
      <c r="C27" s="10" t="s">
        <v>14</v>
      </c>
      <c r="D27" s="11" t="s">
        <v>378</v>
      </c>
      <c r="E27" s="18" t="str">
        <f>IFERROR(INDEX('تحليل الفجوة'!$D$4:$D$164,MATCH($C27&amp;"|"&amp;$D27,'تحليل الفجوة'!$U$4:$U$164,0)),"— لم يُطابَق")</f>
        <v>النموذج المفاهيمي لرضا العميل</v>
      </c>
      <c r="F27" s="10" t="s">
        <v>709</v>
      </c>
      <c r="G27" s="13" t="s">
        <v>200</v>
      </c>
      <c r="H27" s="13" t="s">
        <v>701</v>
      </c>
      <c r="I27" s="16">
        <v>46185</v>
      </c>
      <c r="J27" s="11" t="s">
        <v>79</v>
      </c>
      <c r="K27" s="10" t="s">
        <v>92</v>
      </c>
    </row>
  </sheetData>
  <sheetProtection algorithmName="SHA-512" hashValue="Dh37n3JCsGMcgGwF8x6sBLtUhsgH7ZqLtNJ5li7pIh074FIpew4tf5vwIy/KUd3lktRMS+DsrBBPJ7RzD+n8IQ==" saltValue="BENDltEgtBM/8kpPv3CEMQ==" spinCount="100000" sheet="1" objects="1" scenarios="1"/>
  <mergeCells count="2">
    <mergeCell ref="A2:K2"/>
    <mergeCell ref="A1:K1"/>
  </mergeCells>
  <conditionalFormatting sqref="C4:C27">
    <cfRule type="cellIs" dxfId="45" priority="1" operator="equal">
      <formula>"ISO 23592:2021"</formula>
    </cfRule>
    <cfRule type="cellIs" dxfId="44" priority="2" operator="equal">
      <formula>"ISO 10001:2018"</formula>
    </cfRule>
    <cfRule type="cellIs" dxfId="43" priority="3" operator="equal">
      <formula>"ISO 10002:2018"</formula>
    </cfRule>
    <cfRule type="cellIs" dxfId="42" priority="4" operator="equal">
      <formula>"ISO 10004:2018"</formula>
    </cfRule>
  </conditionalFormatting>
  <conditionalFormatting sqref="F4:F27">
    <cfRule type="cellIs" dxfId="41" priority="5" operator="equal">
      <formula>"وثيقة معتمدة"</formula>
    </cfRule>
    <cfRule type="cellIs" dxfId="40" priority="6" operator="equal">
      <formula>"سجل مُعبَّأ"</formula>
    </cfRule>
    <cfRule type="cellIs" dxfId="39" priority="7" operator="equal">
      <formula>"محضر اجتماع"</formula>
    </cfRule>
    <cfRule type="cellIs" dxfId="38" priority="8" operator="equal">
      <formula>"لقطة شاشة من النظام"</formula>
    </cfRule>
    <cfRule type="cellIs" dxfId="37" priority="9" operator="equal">
      <formula>"تقرير دوري"</formula>
    </cfRule>
    <cfRule type="cellIs" dxfId="36" priority="10" operator="equal">
      <formula>"قائمة تدقيق موقعة"</formula>
    </cfRule>
  </conditionalFormatting>
  <conditionalFormatting sqref="H4:H27">
    <cfRule type="cellIs" dxfId="35" priority="11" operator="equal">
      <formula>"أرشيف إدارة الجودة — ملف ورقي"</formula>
    </cfRule>
    <cfRule type="cellIs" dxfId="34" priority="12" operator="equal">
      <formula>"بوابة الخدمات الإلكترونية — لقطة"</formula>
    </cfRule>
    <cfRule type="cellIs" dxfId="33" priority="13" operator="equal">
      <formula>"مجلد النظام / 05_النواة"</formula>
    </cfRule>
    <cfRule type="cellIs" dxfId="32" priority="14" operator="equal">
      <formula>"مجلد النظام / 07_الالتزامات"</formula>
    </cfRule>
    <cfRule type="cellIs" dxfId="31" priority="15" operator="equal">
      <formula>"مجلد النظام / 08_الشكاوى"</formula>
    </cfRule>
    <cfRule type="cellIs" dxfId="30" priority="16" operator="equal">
      <formula>"مجلد النظام / 09_قياس الرضا"</formula>
    </cfRule>
    <cfRule type="cellIs" dxfId="29" priority="17" operator="equal">
      <formula>"نظام إدارة الشكاوى — تقرير مُصدَّر"</formula>
    </cfRule>
  </conditionalFormatting>
  <conditionalFormatting sqref="J4:J27">
    <cfRule type="cellIs" dxfId="28" priority="18" operator="equal">
      <formula>"م. سارة الحربي"</formula>
    </cfRule>
    <cfRule type="cellIs" dxfId="27" priority="19" operator="equal">
      <formula>"أ. خالد العتيبي"</formula>
    </cfRule>
    <cfRule type="cellIs" dxfId="26" priority="20" operator="equal">
      <formula>"أ. نورة الشمري"</formula>
    </cfRule>
    <cfRule type="cellIs" dxfId="25" priority="21" operator="equal">
      <formula>"م. فيصل الدوسري"</formula>
    </cfRule>
  </conditionalFormatting>
  <conditionalFormatting sqref="K4:K27">
    <cfRule type="cellIs" dxfId="24" priority="22" operator="equal">
      <formula>"مقبول"</formula>
    </cfRule>
    <cfRule type="cellIs" dxfId="23" priority="23" operator="equal">
      <formula>"غير كافٍ"</formula>
    </cfRule>
    <cfRule type="cellIs" dxfId="22" priority="24" operator="equal">
      <formula>"يحتاج تحديثاً"</formula>
    </cfRule>
  </conditionalFormatting>
  <dataValidations count="5">
    <dataValidation type="list" allowBlank="1" sqref="C4:C27" xr:uid="{00000000-0002-0000-0500-000000000000}">
      <formula1>"ISO 23592:2021,ISO 10001:2018,ISO 10002:2018,ISO 10004:2018"</formula1>
    </dataValidation>
    <dataValidation type="list" allowBlank="1" sqref="F4:F27" xr:uid="{00000000-0002-0000-0500-000001000000}">
      <formula1>"وثيقة معتمدة,سجل مُعبَّأ,محضر اجتماع,لقطة شاشة من النظام,تقرير دوري,قائمة تدقيق موقعة"</formula1>
    </dataValidation>
    <dataValidation type="list" allowBlank="1" sqref="H4:H27" xr:uid="{00000000-0002-0000-0500-000002000000}">
      <formula1>"أرشيف إدارة الجودة — ملف ورقي,بوابة الخدمات الإلكترونية — لقطة,مجلد النظام / 05_النواة,مجلد النظام / 07_الالتزامات,مجلد النظام / 08_الشكاوى,مجلد النظام / 09_قياس الرضا,نظام إدارة الشكاوى — تقرير مُصدَّر"</formula1>
    </dataValidation>
    <dataValidation type="list" allowBlank="1" sqref="J4:J27" xr:uid="{00000000-0002-0000-0500-000003000000}">
      <formula1>"م. سارة الحربي,أ. خالد العتيبي,أ. نورة الشمري,م. فيصل الدوسري"</formula1>
    </dataValidation>
    <dataValidation type="list" allowBlank="1" sqref="K4:K27" xr:uid="{00000000-0002-0000-0500-000004000000}">
      <formula1>"مقبول,غير كافٍ,يحتاج تحديثاً"</formula1>
    </dataValidation>
  </dataValidations>
  <printOptions horizontalCentered="1"/>
  <pageMargins left="0.25" right="0.25" top="0.4" bottom="0.4" header="0.2" footer="0.2"/>
  <pageSetup paperSize="8" fitToHeight="0" orientation="landscape"/>
  <headerFooter>
    <oddFooter>&amp;C&amp;8 &amp;K808080امتثال · Imtithal — IMT-ISE-IM-TMP-001 v1.0  ·  صفحة &amp;P من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1A2E5E"/>
    <pageSetUpPr fitToPage="1"/>
  </sheetPr>
  <dimension ref="A1:J65"/>
  <sheetViews>
    <sheetView showGridLines="0" rightToLeft="1" workbookViewId="0">
      <selection activeCell="M9" sqref="M9"/>
    </sheetView>
  </sheetViews>
  <sheetFormatPr defaultRowHeight="14" x14ac:dyDescent="0.3"/>
  <cols>
    <col min="1" max="1" width="4" customWidth="1"/>
    <col min="2" max="2" width="32" customWidth="1"/>
    <col min="3" max="8" width="15" customWidth="1"/>
    <col min="9" max="10" width="16" customWidth="1"/>
  </cols>
  <sheetData>
    <row r="1" spans="1:10" ht="26" customHeight="1" x14ac:dyDescent="0.3">
      <c r="A1" s="35" t="s">
        <v>730</v>
      </c>
      <c r="B1" s="29"/>
      <c r="C1" s="29"/>
      <c r="D1" s="29"/>
      <c r="E1" s="29"/>
      <c r="F1" s="29"/>
      <c r="G1" s="29"/>
      <c r="H1" s="29"/>
      <c r="I1" s="29"/>
      <c r="J1" s="29"/>
    </row>
    <row r="2" spans="1:10" ht="26" customHeight="1" x14ac:dyDescent="0.3">
      <c r="A2" s="36" t="s">
        <v>731</v>
      </c>
      <c r="B2" s="29"/>
      <c r="C2" s="29"/>
      <c r="D2" s="29"/>
      <c r="E2" s="29"/>
      <c r="F2" s="29"/>
      <c r="G2" s="29"/>
      <c r="H2" s="29"/>
      <c r="I2" s="29"/>
      <c r="J2" s="29"/>
    </row>
    <row r="4" spans="1:10" ht="24" customHeight="1" x14ac:dyDescent="0.3">
      <c r="A4" s="38" t="s">
        <v>732</v>
      </c>
      <c r="B4" s="29"/>
      <c r="C4" s="29"/>
      <c r="D4" s="29"/>
      <c r="E4" s="29"/>
      <c r="F4" s="29"/>
      <c r="G4" s="29"/>
      <c r="H4" s="29"/>
      <c r="I4" s="29"/>
      <c r="J4" s="29"/>
    </row>
    <row r="5" spans="1:10" ht="22" customHeight="1" x14ac:dyDescent="0.3">
      <c r="B5" s="41" t="s">
        <v>733</v>
      </c>
      <c r="C5" s="29"/>
      <c r="D5" s="41" t="s">
        <v>734</v>
      </c>
      <c r="E5" s="29"/>
      <c r="F5" s="41" t="s">
        <v>735</v>
      </c>
      <c r="G5" s="29"/>
      <c r="H5" s="41" t="s">
        <v>736</v>
      </c>
      <c r="I5" s="29"/>
    </row>
    <row r="6" spans="1:10" ht="30" customHeight="1" x14ac:dyDescent="0.3">
      <c r="B6" s="40">
        <f>COUNTA('تحليل الفجوة'!$C$4:$C$164)</f>
        <v>161</v>
      </c>
      <c r="C6" s="29"/>
      <c r="D6" s="40">
        <f>COUNTA('تحليل الفجوة'!$J$4:$J$164)-COUNTIF('تحليل الفجوة'!$J$4:$J$164,"لم يُقيَّم")</f>
        <v>161</v>
      </c>
      <c r="E6" s="29"/>
      <c r="F6" s="39">
        <f>IFERROR(ROUND(AVERAGE('تحليل الفجوة'!$K$4:$K$164),1),0)</f>
        <v>60.8</v>
      </c>
      <c r="G6" s="29"/>
      <c r="H6" s="40">
        <f>COUNTIF('تحليل الفجوة'!$R$4:$R$164,"نعم")</f>
        <v>85</v>
      </c>
      <c r="I6" s="29"/>
    </row>
    <row r="8" spans="1:10" ht="22" customHeight="1" x14ac:dyDescent="0.3">
      <c r="B8" s="41" t="s">
        <v>737</v>
      </c>
      <c r="C8" s="29"/>
      <c r="D8" s="41" t="s">
        <v>738</v>
      </c>
      <c r="E8" s="29"/>
      <c r="F8" s="41" t="s">
        <v>739</v>
      </c>
      <c r="G8" s="29"/>
      <c r="H8" s="41" t="s">
        <v>740</v>
      </c>
      <c r="I8" s="29"/>
    </row>
    <row r="9" spans="1:10" ht="30" customHeight="1" x14ac:dyDescent="0.3">
      <c r="B9" s="40">
        <f>COUNTIF('تحليل الفجوة'!$T$4:$T$164,"حرجة")</f>
        <v>18</v>
      </c>
      <c r="C9" s="29"/>
      <c r="D9" s="40">
        <f>COUNTIFS('التخطيط والتنفيذ'!$B$4:$B$164,"نعم",'التخطيط والتنفيذ'!$R$4:$R$164,"مكتمل")</f>
        <v>27</v>
      </c>
      <c r="E9" s="29"/>
      <c r="F9" s="39">
        <f>IFERROR(ROUND(SUMIF('التخطيط والتنفيذ'!$B$4:$B$164,"نعم",'التخطيط والتنفيذ'!$S$4:$S$164)/MAX(1,COUNTIFS('التخطيط والتنفيذ'!$B$4:$B$164,"نعم",'التخطيط والتنفيذ'!$S$4:$S$164,"&gt;=0")),1),0)</f>
        <v>53.5</v>
      </c>
      <c r="G9" s="29"/>
      <c r="H9" s="40">
        <f ca="1">COUNTIF('التخطيط والتنفيذ'!$V$4:$V$164,"متأخر")</f>
        <v>4</v>
      </c>
      <c r="I9" s="29"/>
    </row>
    <row r="11" spans="1:10" ht="24" customHeight="1" x14ac:dyDescent="0.3">
      <c r="A11" s="38" t="s">
        <v>741</v>
      </c>
      <c r="B11" s="29"/>
      <c r="C11" s="29"/>
      <c r="D11" s="29"/>
      <c r="E11" s="29"/>
      <c r="F11" s="29"/>
      <c r="G11" s="29"/>
      <c r="H11" s="29"/>
      <c r="I11" s="29"/>
      <c r="J11" s="29"/>
    </row>
    <row r="12" spans="1:10" ht="32" customHeight="1" x14ac:dyDescent="0.3">
      <c r="B12" s="8" t="s">
        <v>120</v>
      </c>
      <c r="C12" s="8" t="s">
        <v>742</v>
      </c>
      <c r="D12" s="8" t="s">
        <v>62</v>
      </c>
      <c r="E12" s="8" t="s">
        <v>73</v>
      </c>
      <c r="F12" s="8" t="s">
        <v>83</v>
      </c>
      <c r="G12" s="8" t="s">
        <v>93</v>
      </c>
      <c r="H12" s="8" t="s">
        <v>743</v>
      </c>
      <c r="I12" s="8" t="s">
        <v>736</v>
      </c>
      <c r="J12" s="8" t="s">
        <v>744</v>
      </c>
    </row>
    <row r="13" spans="1:10" ht="26" customHeight="1" x14ac:dyDescent="0.3">
      <c r="B13" s="20" t="s">
        <v>745</v>
      </c>
      <c r="C13" s="11">
        <f>COUNTIF('تحليل الفجوة'!$B$4:$B$164,"ISO 23592:2021")</f>
        <v>16</v>
      </c>
      <c r="D13" s="11">
        <f>COUNTIFS('تحليل الفجوة'!$B$4:$B$164,"ISO 23592:2021",'تحليل الفجوة'!$J$4:$J$164,"مطبق كلياً")</f>
        <v>7</v>
      </c>
      <c r="E13" s="11">
        <f>COUNTIFS('تحليل الفجوة'!$B$4:$B$164,"ISO 23592:2021",'تحليل الفجوة'!$J$4:$J$164,"مطبق جزئياً")</f>
        <v>5</v>
      </c>
      <c r="F13" s="11">
        <f>COUNTIFS('تحليل الفجوة'!$B$4:$B$164,"ISO 23592:2021",'تحليل الفجوة'!$J$4:$J$164,"غير مطبق")</f>
        <v>2</v>
      </c>
      <c r="G13" s="11">
        <f>COUNTIFS('تحليل الفجوة'!$B$4:$B$164,"ISO 23592:2021",'تحليل الفجوة'!$J$4:$J$164,"لا ينطبق")</f>
        <v>2</v>
      </c>
      <c r="H13" s="21">
        <f>IFERROR(ROUND(SUMIF('تحليل الفجوة'!$B$4:$B$164,"ISO 23592:2021",'تحليل الفجوة'!$K$4:$K$164)/MAX(1,COUNTIFS('تحليل الفجوة'!$B$4:$B$164,"ISO 23592:2021",'تحليل الفجوة'!$K$4:$K$164,"&gt;=0")),1),0)</f>
        <v>67.900000000000006</v>
      </c>
      <c r="I13" s="11">
        <f>COUNTIFS('تحليل الفجوة'!$B$4:$B$164,"ISO 23592:2021",'تحليل الفجوة'!$R$4:$R$164,"نعم")</f>
        <v>7</v>
      </c>
      <c r="J13" s="11">
        <f>COUNTIFS('تحليل الفجوة'!$B$4:$B$164,"ISO 23592:2021",'تحليل الفجوة'!$N$4:$N$164,"عدم مطابقة كبرى")+COUNTIFS('تحليل الفجوة'!$B$4:$B$164,"ISO 23592:2021",'تحليل الفجوة'!$N$4:$N$164,"عدم مطابقة صغرى")</f>
        <v>3</v>
      </c>
    </row>
    <row r="14" spans="1:10" ht="26" customHeight="1" x14ac:dyDescent="0.3">
      <c r="B14" s="20" t="s">
        <v>746</v>
      </c>
      <c r="C14" s="11">
        <f>COUNTIF('تحليل الفجوة'!$B$4:$B$164,"ISO 10001:2018")</f>
        <v>42</v>
      </c>
      <c r="D14" s="11">
        <f>COUNTIFS('تحليل الفجوة'!$B$4:$B$164,"ISO 10001:2018",'تحليل الفجوة'!$J$4:$J$164,"مطبق كلياً")</f>
        <v>17</v>
      </c>
      <c r="E14" s="11">
        <f>COUNTIFS('تحليل الفجوة'!$B$4:$B$164,"ISO 10001:2018",'تحليل الفجوة'!$J$4:$J$164,"مطبق جزئياً")</f>
        <v>17</v>
      </c>
      <c r="F14" s="11">
        <f>COUNTIFS('تحليل الفجوة'!$B$4:$B$164,"ISO 10001:2018",'تحليل الفجوة'!$J$4:$J$164,"غير مطبق")</f>
        <v>5</v>
      </c>
      <c r="G14" s="11">
        <f>COUNTIFS('تحليل الفجوة'!$B$4:$B$164,"ISO 10001:2018",'تحليل الفجوة'!$J$4:$J$164,"لا ينطبق")</f>
        <v>3</v>
      </c>
      <c r="H14" s="21">
        <f>IFERROR(ROUND(SUMIF('تحليل الفجوة'!$B$4:$B$164,"ISO 10001:2018",'تحليل الفجوة'!$K$4:$K$164)/MAX(1,COUNTIFS('تحليل الفجوة'!$B$4:$B$164,"ISO 10001:2018",'تحليل الفجوة'!$K$4:$K$164,"&gt;=0")),1),0)</f>
        <v>65.400000000000006</v>
      </c>
      <c r="I14" s="11">
        <f>COUNTIFS('تحليل الفجوة'!$B$4:$B$164,"ISO 10001:2018",'تحليل الفجوة'!$R$4:$R$164,"نعم")</f>
        <v>22</v>
      </c>
      <c r="J14" s="11">
        <f>COUNTIFS('تحليل الفجوة'!$B$4:$B$164,"ISO 10001:2018",'تحليل الفجوة'!$N$4:$N$164,"عدم مطابقة كبرى")+COUNTIFS('تحليل الفجوة'!$B$4:$B$164,"ISO 10001:2018",'تحليل الفجوة'!$N$4:$N$164,"عدم مطابقة صغرى")</f>
        <v>11</v>
      </c>
    </row>
    <row r="15" spans="1:10" ht="26" customHeight="1" x14ac:dyDescent="0.3">
      <c r="B15" s="20" t="s">
        <v>747</v>
      </c>
      <c r="C15" s="11">
        <f>COUNTIF('تحليل الفجوة'!$B$4:$B$164,"ISO 10002:2018")</f>
        <v>52</v>
      </c>
      <c r="D15" s="11">
        <f>COUNTIFS('تحليل الفجوة'!$B$4:$B$164,"ISO 10002:2018",'تحليل الفجوة'!$J$4:$J$164,"مطبق كلياً")</f>
        <v>16</v>
      </c>
      <c r="E15" s="11">
        <f>COUNTIFS('تحليل الفجوة'!$B$4:$B$164,"ISO 10002:2018",'تحليل الفجوة'!$J$4:$J$164,"مطبق جزئياً")</f>
        <v>19</v>
      </c>
      <c r="F15" s="11">
        <f>COUNTIFS('تحليل الفجوة'!$B$4:$B$164,"ISO 10002:2018",'تحليل الفجوة'!$J$4:$J$164,"غير مطبق")</f>
        <v>12</v>
      </c>
      <c r="G15" s="11">
        <f>COUNTIFS('تحليل الفجوة'!$B$4:$B$164,"ISO 10002:2018",'تحليل الفجوة'!$J$4:$J$164,"لا ينطبق")</f>
        <v>5</v>
      </c>
      <c r="H15" s="21">
        <f>IFERROR(ROUND(SUMIF('تحليل الفجوة'!$B$4:$B$164,"ISO 10002:2018",'تحليل الفجوة'!$K$4:$K$164)/MAX(1,COUNTIFS('تحليل الفجوة'!$B$4:$B$164,"ISO 10002:2018",'تحليل الفجوة'!$K$4:$K$164,"&gt;=0")),1),0)</f>
        <v>54.3</v>
      </c>
      <c r="I15" s="11">
        <f>COUNTIFS('تحليل الفجوة'!$B$4:$B$164,"ISO 10002:2018",'تحليل الفجوة'!$R$4:$R$164,"نعم")</f>
        <v>31</v>
      </c>
      <c r="J15" s="11">
        <f>COUNTIFS('تحليل الفجوة'!$B$4:$B$164,"ISO 10002:2018",'تحليل الفجوة'!$N$4:$N$164,"عدم مطابقة كبرى")+COUNTIFS('تحليل الفجوة'!$B$4:$B$164,"ISO 10002:2018",'تحليل الفجوة'!$N$4:$N$164,"عدم مطابقة صغرى")</f>
        <v>16</v>
      </c>
    </row>
    <row r="16" spans="1:10" ht="26" customHeight="1" x14ac:dyDescent="0.3">
      <c r="B16" s="20" t="s">
        <v>748</v>
      </c>
      <c r="C16" s="11">
        <f>COUNTIF('تحليل الفجوة'!$B$4:$B$164,"ISO 10004:2018")</f>
        <v>51</v>
      </c>
      <c r="D16" s="11">
        <f>COUNTIFS('تحليل الفجوة'!$B$4:$B$164,"ISO 10004:2018",'تحليل الفجوة'!$J$4:$J$164,"مطبق كلياً")</f>
        <v>23</v>
      </c>
      <c r="E16" s="11">
        <f>COUNTIFS('تحليل الفجوة'!$B$4:$B$164,"ISO 10004:2018",'تحليل الفجوة'!$J$4:$J$164,"مطبق جزئياً")</f>
        <v>13</v>
      </c>
      <c r="F16" s="11">
        <f>COUNTIFS('تحليل الفجوة'!$B$4:$B$164,"ISO 10004:2018",'تحليل الفجوة'!$J$4:$J$164,"غير مطبق")</f>
        <v>12</v>
      </c>
      <c r="G16" s="11">
        <f>COUNTIFS('تحليل الفجوة'!$B$4:$B$164,"ISO 10004:2018",'تحليل الفجوة'!$J$4:$J$164,"لا ينطبق")</f>
        <v>3</v>
      </c>
      <c r="H16" s="21">
        <f>IFERROR(ROUND(SUMIF('تحليل الفجوة'!$B$4:$B$164,"ISO 10004:2018",'تحليل الفجوة'!$K$4:$K$164)/MAX(1,COUNTIFS('تحليل الفجوة'!$B$4:$B$164,"ISO 10004:2018",'تحليل الفجوة'!$K$4:$K$164,"&gt;=0")),1),0)</f>
        <v>61.5</v>
      </c>
      <c r="I16" s="11">
        <f>COUNTIFS('تحليل الفجوة'!$B$4:$B$164,"ISO 10004:2018",'تحليل الفجوة'!$R$4:$R$164,"نعم")</f>
        <v>25</v>
      </c>
      <c r="J16" s="11">
        <f>COUNTIFS('تحليل الفجوة'!$B$4:$B$164,"ISO 10004:2018",'تحليل الفجوة'!$N$4:$N$164,"عدم مطابقة كبرى")+COUNTIFS('تحليل الفجوة'!$B$4:$B$164,"ISO 10004:2018",'تحليل الفجوة'!$N$4:$N$164,"عدم مطابقة صغرى")</f>
        <v>14</v>
      </c>
    </row>
    <row r="18" spans="1:10" ht="24" customHeight="1" x14ac:dyDescent="0.3">
      <c r="A18" s="38" t="s">
        <v>749</v>
      </c>
      <c r="B18" s="29"/>
      <c r="C18" s="29"/>
      <c r="D18" s="29"/>
      <c r="E18" s="29"/>
      <c r="F18" s="29"/>
      <c r="G18" s="29"/>
      <c r="H18" s="29"/>
      <c r="I18" s="29"/>
      <c r="J18" s="29"/>
    </row>
    <row r="19" spans="1:10" ht="32" customHeight="1" x14ac:dyDescent="0.3">
      <c r="B19" s="8" t="s">
        <v>52</v>
      </c>
      <c r="C19" s="8" t="s">
        <v>750</v>
      </c>
      <c r="D19" s="8" t="s">
        <v>751</v>
      </c>
      <c r="E19" s="8" t="s">
        <v>752</v>
      </c>
    </row>
    <row r="20" spans="1:10" ht="24" customHeight="1" x14ac:dyDescent="0.3">
      <c r="B20" s="22" t="s">
        <v>63</v>
      </c>
      <c r="C20" s="11">
        <f>COUNTIF('تحليل الفجوة'!$N$4:$N$164,"مطابق")</f>
        <v>56</v>
      </c>
      <c r="D20" s="21">
        <f>IFERROR(ROUND(COUNTIF('تحليل الفجوة'!$N$4:$N$164,"مطابق")/COUNTA('تحليل الفجوة'!$N$4:$N$164)*100,1),0)</f>
        <v>34.799999999999997</v>
      </c>
      <c r="E20" s="42" t="s">
        <v>753</v>
      </c>
      <c r="F20" s="29"/>
      <c r="G20" s="29"/>
      <c r="H20" s="29"/>
      <c r="I20" s="29"/>
      <c r="J20" s="29"/>
    </row>
    <row r="21" spans="1:10" ht="24" customHeight="1" x14ac:dyDescent="0.3">
      <c r="B21" s="22" t="s">
        <v>74</v>
      </c>
      <c r="C21" s="11">
        <f>COUNTIF('تحليل الفجوة'!$N$4:$N$164,"عدم مطابقة كبرى")</f>
        <v>12</v>
      </c>
      <c r="D21" s="21">
        <f>IFERROR(ROUND(COUNTIF('تحليل الفجوة'!$N$4:$N$164,"عدم مطابقة كبرى")/COUNTA('تحليل الفجوة'!$N$4:$N$164)*100,1),0)</f>
        <v>7.5</v>
      </c>
      <c r="E21" s="42" t="s">
        <v>754</v>
      </c>
      <c r="F21" s="29"/>
      <c r="G21" s="29"/>
      <c r="H21" s="29"/>
      <c r="I21" s="29"/>
      <c r="J21" s="29"/>
    </row>
    <row r="22" spans="1:10" ht="24" customHeight="1" x14ac:dyDescent="0.3">
      <c r="B22" s="22" t="s">
        <v>84</v>
      </c>
      <c r="C22" s="11">
        <f>COUNTIF('تحليل الفجوة'!$N$4:$N$164,"عدم مطابقة صغرى")</f>
        <v>32</v>
      </c>
      <c r="D22" s="21">
        <f>IFERROR(ROUND(COUNTIF('تحليل الفجوة'!$N$4:$N$164,"عدم مطابقة صغرى")/COUNTA('تحليل الفجوة'!$N$4:$N$164)*100,1),0)</f>
        <v>19.899999999999999</v>
      </c>
      <c r="E22" s="42" t="s">
        <v>755</v>
      </c>
      <c r="F22" s="29"/>
      <c r="G22" s="29"/>
      <c r="H22" s="29"/>
      <c r="I22" s="29"/>
      <c r="J22" s="29"/>
    </row>
    <row r="23" spans="1:10" ht="24" customHeight="1" x14ac:dyDescent="0.3">
      <c r="B23" s="22" t="s">
        <v>94</v>
      </c>
      <c r="C23" s="11">
        <f>COUNTIF('تحليل الفجوة'!$N$4:$N$164,"ملاحظة")</f>
        <v>27</v>
      </c>
      <c r="D23" s="21">
        <f>IFERROR(ROUND(COUNTIF('تحليل الفجوة'!$N$4:$N$164,"ملاحظة")/COUNTA('تحليل الفجوة'!$N$4:$N$164)*100,1),0)</f>
        <v>16.8</v>
      </c>
      <c r="E23" s="42" t="s">
        <v>756</v>
      </c>
      <c r="F23" s="29"/>
      <c r="G23" s="29"/>
      <c r="H23" s="29"/>
      <c r="I23" s="29"/>
      <c r="J23" s="29"/>
    </row>
    <row r="24" spans="1:10" ht="24" customHeight="1" x14ac:dyDescent="0.3">
      <c r="B24" s="22" t="s">
        <v>102</v>
      </c>
      <c r="C24" s="11">
        <f>COUNTIF('تحليل الفجوة'!$N$4:$N$164,"فرصة تحسين")</f>
        <v>21</v>
      </c>
      <c r="D24" s="21">
        <f>IFERROR(ROUND(COUNTIF('تحليل الفجوة'!$N$4:$N$164,"فرصة تحسين")/COUNTA('تحليل الفجوة'!$N$4:$N$164)*100,1),0)</f>
        <v>13</v>
      </c>
      <c r="E24" s="42" t="s">
        <v>757</v>
      </c>
      <c r="F24" s="29"/>
      <c r="G24" s="29"/>
      <c r="H24" s="29"/>
      <c r="I24" s="29"/>
      <c r="J24" s="29"/>
    </row>
    <row r="25" spans="1:10" ht="24" customHeight="1" x14ac:dyDescent="0.3">
      <c r="B25" s="22" t="s">
        <v>108</v>
      </c>
      <c r="C25" s="11">
        <f>COUNTIF('تحليل الفجوة'!$N$4:$N$164,"لم يُدقق")</f>
        <v>13</v>
      </c>
      <c r="D25" s="21">
        <f>IFERROR(ROUND(COUNTIF('تحليل الفجوة'!$N$4:$N$164,"لم يُدقق")/COUNTA('تحليل الفجوة'!$N$4:$N$164)*100,1),0)</f>
        <v>8.1</v>
      </c>
      <c r="E25" s="42" t="s">
        <v>758</v>
      </c>
      <c r="F25" s="29"/>
      <c r="G25" s="29"/>
      <c r="H25" s="29"/>
      <c r="I25" s="29"/>
      <c r="J25" s="29"/>
    </row>
    <row r="27" spans="1:10" ht="24" customHeight="1" x14ac:dyDescent="0.3">
      <c r="A27" s="38" t="s">
        <v>759</v>
      </c>
      <c r="B27" s="29"/>
      <c r="C27" s="29"/>
      <c r="D27" s="29"/>
      <c r="E27" s="29"/>
      <c r="F27" s="29"/>
      <c r="G27" s="29"/>
      <c r="H27" s="29"/>
      <c r="I27" s="29"/>
      <c r="J27" s="29"/>
    </row>
    <row r="28" spans="1:10" ht="32" customHeight="1" x14ac:dyDescent="0.3">
      <c r="B28" s="8" t="s">
        <v>668</v>
      </c>
      <c r="C28" s="8" t="s">
        <v>760</v>
      </c>
      <c r="D28" s="8" t="s">
        <v>70</v>
      </c>
      <c r="E28" s="8" t="s">
        <v>80</v>
      </c>
      <c r="F28" s="8" t="s">
        <v>90</v>
      </c>
      <c r="G28" s="8" t="s">
        <v>761</v>
      </c>
      <c r="H28" s="8" t="s">
        <v>762</v>
      </c>
    </row>
    <row r="29" spans="1:10" ht="24" customHeight="1" x14ac:dyDescent="0.3">
      <c r="B29" s="23" t="s">
        <v>65</v>
      </c>
      <c r="C29" s="11">
        <f>COUNTIF('تحليل الفجوة'!$T$4:$T$164,"حرجة")</f>
        <v>18</v>
      </c>
      <c r="D29" s="11">
        <f>COUNTIFS('التخطيط والتنفيذ'!$I$4:$I$164,"حرجة",'التخطيط والتنفيذ'!$R$4:$R$164,"لم يبدأ")</f>
        <v>3</v>
      </c>
      <c r="E29" s="11">
        <f>COUNTIFS('التخطيط والتنفيذ'!$I$4:$I$164,"حرجة",'التخطيط والتنفيذ'!$R$4:$R$164,"جارٍ التنفيذ")</f>
        <v>7</v>
      </c>
      <c r="F29" s="11">
        <f>COUNTIFS('التخطيط والتنفيذ'!$I$4:$I$164,"حرجة",'التخطيط والتنفيذ'!$R$4:$R$164,"مكتمل")</f>
        <v>4</v>
      </c>
      <c r="G29" s="11">
        <f ca="1">COUNTIFS('التخطيط والتنفيذ'!$I$4:$I$164,"حرجة",'التخطيط والتنفيذ'!$V$4:$V$164,"متأخر")</f>
        <v>0</v>
      </c>
      <c r="H29" s="21">
        <f>IFERROR(ROUND(SUMIF('التخطيط والتنفيذ'!$I$4:$I$164,"حرجة",'التخطيط والتنفيذ'!$S$4:$S$164)/MAX(1,COUNTIFS('التخطيط والتنفيذ'!$I$4:$I$164,"حرجة",'التخطيط والتنفيذ'!$S$4:$S$164,"&gt;=0")),1),0)</f>
        <v>43.1</v>
      </c>
    </row>
    <row r="30" spans="1:10" ht="24" customHeight="1" x14ac:dyDescent="0.3">
      <c r="B30" s="23" t="s">
        <v>64</v>
      </c>
      <c r="C30" s="11">
        <f>COUNTIF('تحليل الفجوة'!$T$4:$T$164,"عالية")</f>
        <v>46</v>
      </c>
      <c r="D30" s="11">
        <f>COUNTIFS('التخطيط والتنفيذ'!$I$4:$I$164,"عالية",'التخطيط والتنفيذ'!$R$4:$R$164,"لم يبدأ")</f>
        <v>7</v>
      </c>
      <c r="E30" s="11">
        <f>COUNTIFS('التخطيط والتنفيذ'!$I$4:$I$164,"عالية",'التخطيط والتنفيذ'!$R$4:$R$164,"جارٍ التنفيذ")</f>
        <v>17</v>
      </c>
      <c r="F30" s="11">
        <f>COUNTIFS('التخطيط والتنفيذ'!$I$4:$I$164,"عالية",'التخطيط والتنفيذ'!$R$4:$R$164,"مكتمل")</f>
        <v>17</v>
      </c>
      <c r="G30" s="11">
        <f ca="1">COUNTIFS('التخطيط والتنفيذ'!$I$4:$I$164,"عالية",'التخطيط والتنفيذ'!$V$4:$V$164,"متأخر")</f>
        <v>3</v>
      </c>
      <c r="H30" s="21">
        <f>IFERROR(ROUND(SUMIF('التخطيط والتنفيذ'!$I$4:$I$164,"عالية",'التخطيط والتنفيذ'!$S$4:$S$164)/MAX(1,COUNTIFS('التخطيط والتنفيذ'!$I$4:$I$164,"عالية",'التخطيط والتنفيذ'!$S$4:$S$164,"&gt;=0")),1),0)</f>
        <v>56</v>
      </c>
    </row>
    <row r="31" spans="1:10" ht="24" customHeight="1" x14ac:dyDescent="0.3">
      <c r="B31" s="23" t="s">
        <v>75</v>
      </c>
      <c r="C31" s="11">
        <f>COUNTIF('تحليل الفجوة'!$T$4:$T$164,"متوسطة")</f>
        <v>10</v>
      </c>
      <c r="D31" s="11">
        <f>COUNTIFS('التخطيط والتنفيذ'!$I$4:$I$164,"متوسطة",'التخطيط والتنفيذ'!$R$4:$R$164,"لم يبدأ")</f>
        <v>1</v>
      </c>
      <c r="E31" s="11">
        <f>COUNTIFS('التخطيط والتنفيذ'!$I$4:$I$164,"متوسطة",'التخطيط والتنفيذ'!$R$4:$R$164,"جارٍ التنفيذ")</f>
        <v>6</v>
      </c>
      <c r="F31" s="11">
        <f>COUNTIFS('التخطيط والتنفيذ'!$I$4:$I$164,"متوسطة",'التخطيط والتنفيذ'!$R$4:$R$164,"مكتمل")</f>
        <v>3</v>
      </c>
      <c r="G31" s="11">
        <f ca="1">COUNTIFS('التخطيط والتنفيذ'!$I$4:$I$164,"متوسطة",'التخطيط والتنفيذ'!$V$4:$V$164,"متأخر")</f>
        <v>1</v>
      </c>
      <c r="H31" s="21">
        <f>IFERROR(ROUND(SUMIF('التخطيط والتنفيذ'!$I$4:$I$164,"متوسطة",'التخطيط والتنفيذ'!$S$4:$S$164)/MAX(1,COUNTIFS('التخطيط والتنفيذ'!$I$4:$I$164,"متوسطة",'التخطيط والتنفيذ'!$S$4:$S$164,"&gt;=0")),1),0)</f>
        <v>60</v>
      </c>
    </row>
    <row r="32" spans="1:10" ht="24" customHeight="1" x14ac:dyDescent="0.3">
      <c r="B32" s="23" t="s">
        <v>85</v>
      </c>
      <c r="C32" s="11">
        <f>COUNTIF('تحليل الفجوة'!$T$4:$T$164,"منخفضة")</f>
        <v>11</v>
      </c>
      <c r="D32" s="11">
        <f>COUNTIFS('التخطيط والتنفيذ'!$I$4:$I$164,"منخفضة",'التخطيط والتنفيذ'!$R$4:$R$164,"لم يبدأ")</f>
        <v>1</v>
      </c>
      <c r="E32" s="11">
        <f>COUNTIFS('التخطيط والتنفيذ'!$I$4:$I$164,"منخفضة",'التخطيط والتنفيذ'!$R$4:$R$164,"جارٍ التنفيذ")</f>
        <v>4</v>
      </c>
      <c r="F32" s="11">
        <f>COUNTIFS('التخطيط والتنفيذ'!$I$4:$I$164,"منخفضة",'التخطيط والتنفيذ'!$R$4:$R$164,"مكتمل")</f>
        <v>3</v>
      </c>
      <c r="G32" s="11">
        <f ca="1">COUNTIFS('التخطيط والتنفيذ'!$I$4:$I$164,"منخفضة",'التخطيط والتنفيذ'!$V$4:$V$164,"متأخر")</f>
        <v>0</v>
      </c>
      <c r="H32" s="21">
        <f>IFERROR(ROUND(SUMIF('التخطيط والتنفيذ'!$I$4:$I$164,"منخفضة",'التخطيط والتنفيذ'!$S$4:$S$164)/MAX(1,COUNTIFS('التخطيط والتنفيذ'!$I$4:$I$164,"منخفضة",'التخطيط والتنفيذ'!$S$4:$S$164,"&gt;=0")),1),0)</f>
        <v>54.5</v>
      </c>
    </row>
    <row r="34" spans="1:10" ht="24" customHeight="1" x14ac:dyDescent="0.3">
      <c r="A34" s="38" t="s">
        <v>763</v>
      </c>
      <c r="B34" s="29"/>
      <c r="C34" s="29"/>
      <c r="D34" s="29"/>
      <c r="E34" s="29"/>
      <c r="F34" s="29"/>
      <c r="G34" s="29"/>
      <c r="H34" s="29"/>
      <c r="I34" s="29"/>
      <c r="J34" s="29"/>
    </row>
    <row r="35" spans="1:10" ht="32" customHeight="1" x14ac:dyDescent="0.3">
      <c r="B35" s="8" t="s">
        <v>57</v>
      </c>
      <c r="C35" s="8" t="s">
        <v>764</v>
      </c>
      <c r="D35" s="8" t="s">
        <v>90</v>
      </c>
      <c r="E35" s="8" t="s">
        <v>761</v>
      </c>
      <c r="F35" s="8" t="s">
        <v>762</v>
      </c>
    </row>
    <row r="36" spans="1:10" ht="22" customHeight="1" x14ac:dyDescent="0.3">
      <c r="B36" s="24" t="s">
        <v>68</v>
      </c>
      <c r="C36" s="11">
        <f>COUNTIF('التخطيط والتنفيذ'!$N$4:$N$164,"إدارة التطوير المؤسسي")</f>
        <v>2</v>
      </c>
      <c r="D36" s="11">
        <f>COUNTIFS('التخطيط والتنفيذ'!$N$4:$N$164,"إدارة التطوير المؤسسي",'التخطيط والتنفيذ'!$R$4:$R$164,"مكتمل")</f>
        <v>1</v>
      </c>
      <c r="E36" s="11">
        <f ca="1">COUNTIFS('التخطيط والتنفيذ'!$N$4:$N$164,"إدارة التطوير المؤسسي",'التخطيط والتنفيذ'!$V$4:$V$164,"متأخر")</f>
        <v>0</v>
      </c>
      <c r="F36" s="21">
        <f>IFERROR(ROUND(SUMIF('التخطيط والتنفيذ'!$N$4:$N$164,"إدارة التطوير المؤسسي",'التخطيط والتنفيذ'!$S$4:$S$164)/MAX(1,COUNTIFS('التخطيط والتنفيذ'!$N$4:$N$164,"إدارة التطوير المؤسسي",'التخطيط والتنفيذ'!$S$4:$S$164,"&gt;=0")),1),0)</f>
        <v>87.5</v>
      </c>
    </row>
    <row r="37" spans="1:10" ht="22" customHeight="1" x14ac:dyDescent="0.3">
      <c r="B37" s="24" t="s">
        <v>78</v>
      </c>
      <c r="C37" s="11">
        <f>COUNTIF('التخطيط والتنفيذ'!$N$4:$N$164,"إدارة الجودة والتميز")</f>
        <v>1</v>
      </c>
      <c r="D37" s="11">
        <f>COUNTIFS('التخطيط والتنفيذ'!$N$4:$N$164,"إدارة الجودة والتميز",'التخطيط والتنفيذ'!$R$4:$R$164,"مكتمل")</f>
        <v>0</v>
      </c>
      <c r="E37" s="11">
        <f ca="1">COUNTIFS('التخطيط والتنفيذ'!$N$4:$N$164,"إدارة الجودة والتميز",'التخطيط والتنفيذ'!$V$4:$V$164,"متأخر")</f>
        <v>0</v>
      </c>
      <c r="F37" s="21">
        <f>IFERROR(ROUND(SUMIF('التخطيط والتنفيذ'!$N$4:$N$164,"إدارة الجودة والتميز",'التخطيط والتنفيذ'!$S$4:$S$164)/MAX(1,COUNTIFS('التخطيط والتنفيذ'!$N$4:$N$164,"إدارة الجودة والتميز",'التخطيط والتنفيذ'!$S$4:$S$164,"&gt;=0")),1),0)</f>
        <v>50</v>
      </c>
    </row>
    <row r="38" spans="1:10" ht="22" customHeight="1" x14ac:dyDescent="0.3">
      <c r="B38" s="24" t="s">
        <v>88</v>
      </c>
      <c r="C38" s="11">
        <f>COUNTIF('التخطيط والتنفيذ'!$N$4:$N$164,"إدارة خدمة المستفيدين")</f>
        <v>28</v>
      </c>
      <c r="D38" s="11">
        <f>COUNTIFS('التخطيط والتنفيذ'!$N$4:$N$164,"إدارة خدمة المستفيدين",'التخطيط والتنفيذ'!$R$4:$R$164,"مكتمل")</f>
        <v>9</v>
      </c>
      <c r="E38" s="11">
        <f ca="1">COUNTIFS('التخطيط والتنفيذ'!$N$4:$N$164,"إدارة خدمة المستفيدين",'التخطيط والتنفيذ'!$V$4:$V$164,"متأخر")</f>
        <v>2</v>
      </c>
      <c r="F38" s="21">
        <f>IFERROR(ROUND(SUMIF('التخطيط والتنفيذ'!$N$4:$N$164,"إدارة خدمة المستفيدين",'التخطيط والتنفيذ'!$S$4:$S$164)/MAX(1,COUNTIFS('التخطيط والتنفيذ'!$N$4:$N$164,"إدارة خدمة المستفيدين",'التخطيط والتنفيذ'!$S$4:$S$164,"&gt;=0")),1),0)</f>
        <v>52.7</v>
      </c>
    </row>
    <row r="39" spans="1:10" ht="22" customHeight="1" x14ac:dyDescent="0.3">
      <c r="B39" s="24" t="s">
        <v>97</v>
      </c>
      <c r="C39" s="11">
        <f>COUNTIF('التخطيط والتنفيذ'!$N$4:$N$164,"إدارة الشكاوى والتظلمات")</f>
        <v>5</v>
      </c>
      <c r="D39" s="11">
        <f>COUNTIFS('التخطيط والتنفيذ'!$N$4:$N$164,"إدارة الشكاوى والتظلمات",'التخطيط والتنفيذ'!$R$4:$R$164,"مكتمل")</f>
        <v>2</v>
      </c>
      <c r="E39" s="11">
        <f ca="1">COUNTIFS('التخطيط والتنفيذ'!$N$4:$N$164,"إدارة الشكاوى والتظلمات",'التخطيط والتنفيذ'!$V$4:$V$164,"متأخر")</f>
        <v>1</v>
      </c>
      <c r="F39" s="21">
        <f>IFERROR(ROUND(SUMIF('التخطيط والتنفيذ'!$N$4:$N$164,"إدارة الشكاوى والتظلمات",'التخطيط والتنفيذ'!$S$4:$S$164)/MAX(1,COUNTIFS('التخطيط والتنفيذ'!$N$4:$N$164,"إدارة الشكاوى والتظلمات",'التخطيط والتنفيذ'!$S$4:$S$164,"&gt;=0")),1),0)</f>
        <v>45</v>
      </c>
    </row>
    <row r="40" spans="1:10" ht="22" customHeight="1" x14ac:dyDescent="0.3">
      <c r="B40" s="24" t="s">
        <v>105</v>
      </c>
      <c r="C40" s="11">
        <f>COUNTIF('التخطيط والتنفيذ'!$N$4:$N$164,"إدارة التحول الرقمي")</f>
        <v>8</v>
      </c>
      <c r="D40" s="11">
        <f>COUNTIFS('التخطيط والتنفيذ'!$N$4:$N$164,"إدارة التحول الرقمي",'التخطيط والتنفيذ'!$R$4:$R$164,"مكتمل")</f>
        <v>3</v>
      </c>
      <c r="E40" s="11">
        <f ca="1">COUNTIFS('التخطيط والتنفيذ'!$N$4:$N$164,"إدارة التحول الرقمي",'التخطيط والتنفيذ'!$V$4:$V$164,"متأخر")</f>
        <v>0</v>
      </c>
      <c r="F40" s="21">
        <f>IFERROR(ROUND(SUMIF('التخطيط والتنفيذ'!$N$4:$N$164,"إدارة التحول الرقمي",'التخطيط والتنفيذ'!$S$4:$S$164)/MAX(1,COUNTIFS('التخطيط والتنفيذ'!$N$4:$N$164,"إدارة التحول الرقمي",'التخطيط والتنفيذ'!$S$4:$S$164,"&gt;=0")),1),0)</f>
        <v>53.1</v>
      </c>
    </row>
    <row r="41" spans="1:10" ht="22" customHeight="1" x14ac:dyDescent="0.3">
      <c r="B41" s="24" t="s">
        <v>111</v>
      </c>
      <c r="C41" s="11">
        <f>COUNTIF('التخطيط والتنفيذ'!$N$4:$N$164,"إدارة الاتصال المؤسسي")</f>
        <v>8</v>
      </c>
      <c r="D41" s="11">
        <f>COUNTIFS('التخطيط والتنفيذ'!$N$4:$N$164,"إدارة الاتصال المؤسسي",'التخطيط والتنفيذ'!$R$4:$R$164,"مكتمل")</f>
        <v>2</v>
      </c>
      <c r="E41" s="11">
        <f ca="1">COUNTIFS('التخطيط والتنفيذ'!$N$4:$N$164,"إدارة الاتصال المؤسسي",'التخطيط والتنفيذ'!$V$4:$V$164,"متأخر")</f>
        <v>0</v>
      </c>
      <c r="F41" s="21">
        <f>IFERROR(ROUND(SUMIF('التخطيط والتنفيذ'!$N$4:$N$164,"إدارة الاتصال المؤسسي",'التخطيط والتنفيذ'!$S$4:$S$164)/MAX(1,COUNTIFS('التخطيط والتنفيذ'!$N$4:$N$164,"إدارة الاتصال المؤسسي",'التخطيط والتنفيذ'!$S$4:$S$164,"&gt;=0")),1),0)</f>
        <v>68.8</v>
      </c>
    </row>
    <row r="42" spans="1:10" ht="22" customHeight="1" x14ac:dyDescent="0.3">
      <c r="B42" s="24" t="s">
        <v>113</v>
      </c>
      <c r="C42" s="11">
        <f>COUNTIF('التخطيط والتنفيذ'!$N$4:$N$164,"إدارة الموارد البشرية")</f>
        <v>4</v>
      </c>
      <c r="D42" s="11">
        <f>COUNTIFS('التخطيط والتنفيذ'!$N$4:$N$164,"إدارة الموارد البشرية",'التخطيط والتنفيذ'!$R$4:$R$164,"مكتمل")</f>
        <v>0</v>
      </c>
      <c r="E42" s="11">
        <f ca="1">COUNTIFS('التخطيط والتنفيذ'!$N$4:$N$164,"إدارة الموارد البشرية",'التخطيط والتنفيذ'!$V$4:$V$164,"متأخر")</f>
        <v>0</v>
      </c>
      <c r="F42" s="21">
        <f>IFERROR(ROUND(SUMIF('التخطيط والتنفيذ'!$N$4:$N$164,"إدارة الموارد البشرية",'التخطيط والتنفيذ'!$S$4:$S$164)/MAX(1,COUNTIFS('التخطيط والتنفيذ'!$N$4:$N$164,"إدارة الموارد البشرية",'التخطيط والتنفيذ'!$S$4:$S$164,"&gt;=0")),1),0)</f>
        <v>25</v>
      </c>
    </row>
    <row r="43" spans="1:10" ht="22" customHeight="1" x14ac:dyDescent="0.3">
      <c r="B43" s="24" t="s">
        <v>114</v>
      </c>
      <c r="C43" s="11">
        <f>COUNTIF('التخطيط والتنفيذ'!$N$4:$N$164,"إدارة التخطيط والأداء")</f>
        <v>14</v>
      </c>
      <c r="D43" s="11">
        <f>COUNTIFS('التخطيط والتنفيذ'!$N$4:$N$164,"إدارة التخطيط والأداء",'التخطيط والتنفيذ'!$R$4:$R$164,"مكتمل")</f>
        <v>5</v>
      </c>
      <c r="E43" s="11">
        <f ca="1">COUNTIFS('التخطيط والتنفيذ'!$N$4:$N$164,"إدارة التخطيط والأداء",'التخطيط والتنفيذ'!$V$4:$V$164,"متأخر")</f>
        <v>1</v>
      </c>
      <c r="F43" s="21">
        <f>IFERROR(ROUND(SUMIF('التخطيط والتنفيذ'!$N$4:$N$164,"إدارة التخطيط والأداء",'التخطيط والتنفيذ'!$S$4:$S$164)/MAX(1,COUNTIFS('التخطيط والتنفيذ'!$N$4:$N$164,"إدارة التخطيط والأداء",'التخطيط والتنفيذ'!$S$4:$S$164,"&gt;=0")),1),0)</f>
        <v>51.8</v>
      </c>
    </row>
    <row r="44" spans="1:10" ht="22" customHeight="1" x14ac:dyDescent="0.3">
      <c r="B44" s="24" t="s">
        <v>115</v>
      </c>
      <c r="C44" s="11">
        <f>COUNTIF('التخطيط والتنفيذ'!$N$4:$N$164,"إدارة المراجعة الداخلية")</f>
        <v>15</v>
      </c>
      <c r="D44" s="11">
        <f>COUNTIFS('التخطيط والتنفيذ'!$N$4:$N$164,"إدارة المراجعة الداخلية",'التخطيط والتنفيذ'!$R$4:$R$164,"مكتمل")</f>
        <v>5</v>
      </c>
      <c r="E44" s="11">
        <f ca="1">COUNTIFS('التخطيط والتنفيذ'!$N$4:$N$164,"إدارة المراجعة الداخلية",'التخطيط والتنفيذ'!$V$4:$V$164,"متأخر")</f>
        <v>0</v>
      </c>
      <c r="F44" s="21">
        <f>IFERROR(ROUND(SUMIF('التخطيط والتنفيذ'!$N$4:$N$164,"إدارة المراجعة الداخلية",'التخطيط والتنفيذ'!$S$4:$S$164)/MAX(1,COUNTIFS('التخطيط والتنفيذ'!$N$4:$N$164,"إدارة المراجعة الداخلية",'التخطيط والتنفيذ'!$S$4:$S$164,"&gt;=0")),1),0)</f>
        <v>55</v>
      </c>
    </row>
    <row r="46" spans="1:10" ht="24" customHeight="1" x14ac:dyDescent="0.3">
      <c r="A46" s="38" t="s">
        <v>765</v>
      </c>
      <c r="B46" s="29"/>
      <c r="C46" s="29"/>
      <c r="D46" s="29"/>
      <c r="E46" s="29"/>
      <c r="F46" s="29"/>
      <c r="G46" s="29"/>
      <c r="H46" s="29"/>
      <c r="I46" s="29"/>
      <c r="J46" s="29"/>
    </row>
    <row r="47" spans="1:10" ht="32" customHeight="1" x14ac:dyDescent="0.3">
      <c r="B47" s="8" t="s">
        <v>119</v>
      </c>
      <c r="C47" s="8" t="s">
        <v>120</v>
      </c>
      <c r="D47" s="8" t="s">
        <v>121</v>
      </c>
      <c r="E47" s="8" t="s">
        <v>667</v>
      </c>
      <c r="F47" s="8" t="s">
        <v>52</v>
      </c>
      <c r="G47" s="8" t="s">
        <v>57</v>
      </c>
      <c r="H47" s="8" t="s">
        <v>59</v>
      </c>
    </row>
    <row r="48" spans="1:10" ht="26" customHeight="1" x14ac:dyDescent="0.3">
      <c r="B48" s="11">
        <v>1</v>
      </c>
      <c r="C48" s="25" t="str">
        <f>IFERROR(INDEX('تحليل الفجوة'!$B$4:$B$164,MATCH(1,'تحليل الفجوة'!$V$4:$V$164,0)),"—")</f>
        <v>ISO 23592:2021</v>
      </c>
      <c r="D48" s="25" t="str">
        <f>IFERROR(INDEX('تحليل الفجوة'!$C$4:$C$164,MATCH(1,'تحليل الفجوة'!$V$4:$V$164,0)),"—")</f>
        <v>7.1.1</v>
      </c>
      <c r="E48" s="13" t="str">
        <f>IFERROR(INDEX('تحليل الفجوة'!$D$4:$D$164,MATCH(1,'تحليل الفجوة'!$V$4:$V$164,0)),"—")</f>
        <v>رؤية ورسالة واستراتيجية التميز في الخدمات</v>
      </c>
      <c r="F48" s="25" t="str">
        <f>IFERROR(INDEX('تحليل الفجوة'!$N$4:$N$164,MATCH(1,'تحليل الفجوة'!$V$4:$V$164,0)),"—")</f>
        <v>ملاحظة</v>
      </c>
      <c r="G48" s="25" t="str">
        <f>IFERROR(INDEX('التخطيط والتنفيذ'!$N$4:$N$164,MATCH(1,'تحليل الفجوة'!$V$4:$V$164,0)),"—")</f>
        <v>إدارة التطوير المؤسسي</v>
      </c>
      <c r="H48" s="25" t="str">
        <f>IFERROR(INDEX('التخطيط والتنفيذ'!$R$4:$R$164,MATCH(1,'تحليل الفجوة'!$V$4:$V$164,0)),"—")</f>
        <v>جارٍ التنفيذ</v>
      </c>
    </row>
    <row r="49" spans="2:10" ht="26" customHeight="1" x14ac:dyDescent="0.3">
      <c r="B49" s="11">
        <v>2</v>
      </c>
      <c r="C49" s="25" t="str">
        <f>IFERROR(INDEX('تحليل الفجوة'!$B$4:$B$164,MATCH(2,'تحليل الفجوة'!$V$4:$V$164,0)),"—")</f>
        <v>ISO 23592:2021</v>
      </c>
      <c r="D49" s="25" t="str">
        <f>IFERROR(INDEX('تحليل الفجوة'!$C$4:$C$164,MATCH(2,'تحليل الفجوة'!$V$4:$V$164,0)),"—")</f>
        <v>7.3.1</v>
      </c>
      <c r="E49" s="13" t="str">
        <f>IFERROR(INDEX('تحليل الفجوة'!$D$4:$D$164,MATCH(2,'تحليل الفجوة'!$V$4:$V$164,0)),"—")</f>
        <v>فهم احتياجات المستفيدين وتوقعاتهم ورغباتهم</v>
      </c>
      <c r="F49" s="25" t="str">
        <f>IFERROR(INDEX('تحليل الفجوة'!$N$4:$N$164,MATCH(2,'تحليل الفجوة'!$V$4:$V$164,0)),"—")</f>
        <v>عدم مطابقة كبرى</v>
      </c>
      <c r="G49" s="25" t="str">
        <f>IFERROR(INDEX('التخطيط والتنفيذ'!$N$4:$N$164,MATCH(2,'تحليل الفجوة'!$V$4:$V$164,0)),"—")</f>
        <v>إدارة الموارد البشرية</v>
      </c>
      <c r="H49" s="25" t="str">
        <f>IFERROR(INDEX('التخطيط والتنفيذ'!$R$4:$R$164,MATCH(2,'تحليل الفجوة'!$V$4:$V$164,0)),"—")</f>
        <v>مؤجل</v>
      </c>
    </row>
    <row r="50" spans="2:10" ht="26" customHeight="1" x14ac:dyDescent="0.3">
      <c r="B50" s="11">
        <v>3</v>
      </c>
      <c r="C50" s="25" t="str">
        <f>IFERROR(INDEX('تحليل الفجوة'!$B$4:$B$164,MATCH(3,'تحليل الفجوة'!$V$4:$V$164,0)),"—")</f>
        <v>ISO 10001:2018</v>
      </c>
      <c r="D50" s="25" t="str">
        <f>IFERROR(INDEX('تحليل الفجوة'!$C$4:$C$164,MATCH(3,'تحليل الفجوة'!$V$4:$V$164,0)),"—")</f>
        <v>4.6</v>
      </c>
      <c r="E50" s="13" t="str">
        <f>IFERROR(INDEX('تحليل الفجوة'!$D$4:$D$164,MATCH(3,'تحليل الفجوة'!$V$4:$V$164,0)),"—")</f>
        <v>الاستجابة</v>
      </c>
      <c r="F50" s="25" t="str">
        <f>IFERROR(INDEX('تحليل الفجوة'!$N$4:$N$164,MATCH(3,'تحليل الفجوة'!$V$4:$V$164,0)),"—")</f>
        <v>عدم مطابقة كبرى</v>
      </c>
      <c r="G50" s="25" t="str">
        <f>IFERROR(INDEX('التخطيط والتنفيذ'!$N$4:$N$164,MATCH(3,'تحليل الفجوة'!$V$4:$V$164,0)),"—")</f>
        <v>إدارة خدمة المستفيدين</v>
      </c>
      <c r="H50" s="25" t="str">
        <f>IFERROR(INDEX('التخطيط والتنفيذ'!$R$4:$R$164,MATCH(3,'تحليل الفجوة'!$V$4:$V$164,0)),"—")</f>
        <v>جارٍ التنفيذ</v>
      </c>
    </row>
    <row r="51" spans="2:10" ht="26" customHeight="1" x14ac:dyDescent="0.3">
      <c r="B51" s="11">
        <v>4</v>
      </c>
      <c r="C51" s="25" t="str">
        <f>IFERROR(INDEX('تحليل الفجوة'!$B$4:$B$164,MATCH(4,'تحليل الفجوة'!$V$4:$V$164,0)),"—")</f>
        <v>ISO 10001:2018</v>
      </c>
      <c r="D51" s="25" t="str">
        <f>IFERROR(INDEX('تحليل الفجوة'!$C$4:$C$164,MATCH(4,'تحليل الفجوة'!$V$4:$V$164,0)),"—")</f>
        <v>8.4</v>
      </c>
      <c r="E51" s="13" t="str">
        <f>IFERROR(INDEX('تحليل الفجوة'!$D$4:$D$164,MATCH(4,'تحليل الفجوة'!$V$4:$V$164,0)),"—")</f>
        <v>مراجعة الميثاق وإطاره</v>
      </c>
      <c r="F51" s="25" t="str">
        <f>IFERROR(INDEX('تحليل الفجوة'!$N$4:$N$164,MATCH(4,'تحليل الفجوة'!$V$4:$V$164,0)),"—")</f>
        <v>ملاحظة</v>
      </c>
      <c r="G51" s="25" t="str">
        <f>IFERROR(INDEX('التخطيط والتنفيذ'!$N$4:$N$164,MATCH(4,'تحليل الفجوة'!$V$4:$V$164,0)),"—")</f>
        <v>إدارة الاتصال المؤسسي</v>
      </c>
      <c r="H51" s="25" t="str">
        <f>IFERROR(INDEX('التخطيط والتنفيذ'!$R$4:$R$164,MATCH(4,'تحليل الفجوة'!$V$4:$V$164,0)),"—")</f>
        <v>متوقف</v>
      </c>
    </row>
    <row r="52" spans="2:10" ht="26" customHeight="1" x14ac:dyDescent="0.3">
      <c r="B52" s="11">
        <v>5</v>
      </c>
      <c r="C52" s="25" t="str">
        <f>IFERROR(INDEX('تحليل الفجوة'!$B$4:$B$164,MATCH(5,'تحليل الفجوة'!$V$4:$V$164,0)),"—")</f>
        <v>ISO 10001:2018</v>
      </c>
      <c r="D52" s="25" t="str">
        <f>IFERROR(INDEX('تحليل الفجوة'!$C$4:$C$164,MATCH(5,'تحليل الفجوة'!$V$4:$V$164,0)),"—")</f>
        <v>الملحق H</v>
      </c>
      <c r="E52" s="13" t="str">
        <f>IFERROR(INDEX('تحليل الفجوة'!$D$4:$D$164,MATCH(5,'تحليل الفجوة'!$V$4:$V$164,0)),"—")</f>
        <v>إرشادات إعداد الميثاق</v>
      </c>
      <c r="F52" s="25" t="str">
        <f>IFERROR(INDEX('تحليل الفجوة'!$N$4:$N$164,MATCH(5,'تحليل الفجوة'!$V$4:$V$164,0)),"—")</f>
        <v>عدم مطابقة كبرى</v>
      </c>
      <c r="G52" s="25" t="str">
        <f>IFERROR(INDEX('التخطيط والتنفيذ'!$N$4:$N$164,MATCH(5,'تحليل الفجوة'!$V$4:$V$164,0)),"—")</f>
        <v>إدارة خدمة المستفيدين</v>
      </c>
      <c r="H52" s="25" t="str">
        <f>IFERROR(INDEX('التخطيط والتنفيذ'!$R$4:$R$164,MATCH(5,'تحليل الفجوة'!$V$4:$V$164,0)),"—")</f>
        <v>مكتمل</v>
      </c>
    </row>
    <row r="53" spans="2:10" ht="26" customHeight="1" x14ac:dyDescent="0.3">
      <c r="B53" s="11">
        <v>6</v>
      </c>
      <c r="C53" s="25" t="str">
        <f>IFERROR(INDEX('تحليل الفجوة'!$B$4:$B$164,MATCH(6,'تحليل الفجوة'!$V$4:$V$164,0)),"—")</f>
        <v>ISO 10002:2018</v>
      </c>
      <c r="D53" s="25" t="str">
        <f>IFERROR(INDEX('تحليل الفجوة'!$C$4:$C$164,MATCH(6,'تحليل الفجوة'!$V$4:$V$164,0)),"—")</f>
        <v>4.1</v>
      </c>
      <c r="E53" s="13" t="str">
        <f>IFERROR(INDEX('تحليل الفجوة'!$D$4:$D$164,MATCH(6,'تحليل الفجوة'!$V$4:$V$164,0)),"—")</f>
        <v>عام</v>
      </c>
      <c r="F53" s="25" t="str">
        <f>IFERROR(INDEX('تحليل الفجوة'!$N$4:$N$164,MATCH(6,'تحليل الفجوة'!$V$4:$V$164,0)),"—")</f>
        <v>ملاحظة</v>
      </c>
      <c r="G53" s="25" t="str">
        <f>IFERROR(INDEX('التخطيط والتنفيذ'!$N$4:$N$164,MATCH(6,'تحليل الفجوة'!$V$4:$V$164,0)),"—")</f>
        <v>إدارة الشكاوى والتظلمات</v>
      </c>
      <c r="H53" s="25" t="str">
        <f>IFERROR(INDEX('التخطيط والتنفيذ'!$R$4:$R$164,MATCH(6,'تحليل الفجوة'!$V$4:$V$164,0)),"—")</f>
        <v>مؤجل</v>
      </c>
    </row>
    <row r="54" spans="2:10" ht="26" customHeight="1" x14ac:dyDescent="0.3">
      <c r="B54" s="11">
        <v>7</v>
      </c>
      <c r="C54" s="25" t="str">
        <f>IFERROR(INDEX('تحليل الفجوة'!$B$4:$B$164,MATCH(7,'تحليل الفجوة'!$V$4:$V$164,0)),"—")</f>
        <v>ISO 10002:2018</v>
      </c>
      <c r="D54" s="25" t="str">
        <f>IFERROR(INDEX('تحليل الفجوة'!$C$4:$C$164,MATCH(7,'تحليل الفجوة'!$V$4:$V$164,0)),"—")</f>
        <v>4.5</v>
      </c>
      <c r="E54" s="13" t="str">
        <f>IFERROR(INDEX('تحليل الفجوة'!$D$4:$D$164,MATCH(7,'تحليل الفجوة'!$V$4:$V$164,0)),"—")</f>
        <v>سهولة الوصول</v>
      </c>
      <c r="F54" s="25" t="str">
        <f>IFERROR(INDEX('تحليل الفجوة'!$N$4:$N$164,MATCH(7,'تحليل الفجوة'!$V$4:$V$164,0)),"—")</f>
        <v>عدم مطابقة كبرى</v>
      </c>
      <c r="G54" s="25" t="str">
        <f>IFERROR(INDEX('التخطيط والتنفيذ'!$N$4:$N$164,MATCH(7,'تحليل الفجوة'!$V$4:$V$164,0)),"—")</f>
        <v>إدارة المراجعة الداخلية</v>
      </c>
      <c r="H54" s="25" t="str">
        <f>IFERROR(INDEX('التخطيط والتنفيذ'!$R$4:$R$164,MATCH(7,'تحليل الفجوة'!$V$4:$V$164,0)),"—")</f>
        <v>لم يبدأ</v>
      </c>
    </row>
    <row r="55" spans="2:10" ht="26" customHeight="1" x14ac:dyDescent="0.3">
      <c r="B55" s="11">
        <v>8</v>
      </c>
      <c r="C55" s="25" t="str">
        <f>IFERROR(INDEX('تحليل الفجوة'!$B$4:$B$164,MATCH(8,'تحليل الفجوة'!$V$4:$V$164,0)),"—")</f>
        <v>ISO 10002:2018</v>
      </c>
      <c r="D55" s="25" t="str">
        <f>IFERROR(INDEX('تحليل الفجوة'!$C$4:$C$164,MATCH(8,'تحليل الفجوة'!$V$4:$V$164,0)),"—")</f>
        <v>4.9</v>
      </c>
      <c r="E55" s="13" t="str">
        <f>IFERROR(INDEX('تحليل الفجوة'!$D$4:$D$164,MATCH(8,'تحليل الفجوة'!$V$4:$V$164,0)),"—")</f>
        <v>نزاهة المعلومات</v>
      </c>
      <c r="F55" s="25" t="str">
        <f>IFERROR(INDEX('تحليل الفجوة'!$N$4:$N$164,MATCH(8,'تحليل الفجوة'!$V$4:$V$164,0)),"—")</f>
        <v>عدم مطابقة كبرى</v>
      </c>
      <c r="G55" s="25" t="str">
        <f>IFERROR(INDEX('التخطيط والتنفيذ'!$N$4:$N$164,MATCH(8,'تحليل الفجوة'!$V$4:$V$164,0)),"—")</f>
        <v>إدارة الشكاوى والتظلمات</v>
      </c>
      <c r="H55" s="25" t="str">
        <f>IFERROR(INDEX('التخطيط والتنفيذ'!$R$4:$R$164,MATCH(8,'تحليل الفجوة'!$V$4:$V$164,0)),"—")</f>
        <v>جارٍ التنفيذ</v>
      </c>
    </row>
    <row r="56" spans="2:10" ht="26" customHeight="1" x14ac:dyDescent="0.3">
      <c r="B56" s="11">
        <v>9</v>
      </c>
      <c r="C56" s="25" t="str">
        <f>IFERROR(INDEX('تحليل الفجوة'!$B$4:$B$164,MATCH(9,'تحليل الفجوة'!$V$4:$V$164,0)),"—")</f>
        <v>ISO 10002:2018</v>
      </c>
      <c r="D56" s="25" t="str">
        <f>IFERROR(INDEX('تحليل الفجوة'!$C$4:$C$164,MATCH(9,'تحليل الفجوة'!$V$4:$V$164,0)),"—")</f>
        <v>4.13</v>
      </c>
      <c r="E56" s="13" t="str">
        <f>IFERROR(INDEX('تحليل الفجوة'!$D$4:$D$164,MATCH(9,'تحليل الفجوة'!$V$4:$V$164,0)),"—")</f>
        <v>التحسين</v>
      </c>
      <c r="F56" s="25" t="str">
        <f>IFERROR(INDEX('تحليل الفجوة'!$N$4:$N$164,MATCH(9,'تحليل الفجوة'!$V$4:$V$164,0)),"—")</f>
        <v>عدم مطابقة كبرى</v>
      </c>
      <c r="G56" s="25" t="str">
        <f>IFERROR(INDEX('التخطيط والتنفيذ'!$N$4:$N$164,MATCH(9,'تحليل الفجوة'!$V$4:$V$164,0)),"—")</f>
        <v>إدارة المراجعة الداخلية</v>
      </c>
      <c r="H56" s="25" t="str">
        <f>IFERROR(INDEX('التخطيط والتنفيذ'!$R$4:$R$164,MATCH(9,'تحليل الفجوة'!$V$4:$V$164,0)),"—")</f>
        <v>مكتمل</v>
      </c>
    </row>
    <row r="57" spans="2:10" ht="26" customHeight="1" x14ac:dyDescent="0.3">
      <c r="B57" s="11">
        <v>10</v>
      </c>
      <c r="C57" s="25" t="str">
        <f>IFERROR(INDEX('تحليل الفجوة'!$B$4:$B$164,MATCH(10,'تحليل الفجوة'!$V$4:$V$164,0)),"—")</f>
        <v>ISO 10002:2018</v>
      </c>
      <c r="D57" s="25" t="str">
        <f>IFERROR(INDEX('تحليل الفجوة'!$C$4:$C$164,MATCH(10,'تحليل الفجوة'!$V$4:$V$164,0)),"—")</f>
        <v>5.2</v>
      </c>
      <c r="E57" s="13" t="str">
        <f>IFERROR(INDEX('تحليل الفجوة'!$D$4:$D$164,MATCH(10,'تحليل الفجوة'!$V$4:$V$164,0)),"—")</f>
        <v>القيادة والالتزام</v>
      </c>
      <c r="F57" s="25" t="str">
        <f>IFERROR(INDEX('تحليل الفجوة'!$N$4:$N$164,MATCH(10,'تحليل الفجوة'!$V$4:$V$164,0)),"—")</f>
        <v>عدم مطابقة كبرى</v>
      </c>
      <c r="G57" s="25" t="str">
        <f>IFERROR(INDEX('التخطيط والتنفيذ'!$N$4:$N$164,MATCH(10,'تحليل الفجوة'!$V$4:$V$164,0)),"—")</f>
        <v>إدارة المراجعة الداخلية</v>
      </c>
      <c r="H57" s="25" t="str">
        <f>IFERROR(INDEX('التخطيط والتنفيذ'!$R$4:$R$164,MATCH(10,'تحليل الفجوة'!$V$4:$V$164,0)),"—")</f>
        <v>جارٍ التنفيذ</v>
      </c>
    </row>
    <row r="58" spans="2:10" ht="26" customHeight="1" x14ac:dyDescent="0.3">
      <c r="B58" s="11">
        <v>11</v>
      </c>
      <c r="C58" s="25" t="str">
        <f>IFERROR(INDEX('تحليل الفجوة'!$B$4:$B$164,MATCH(11,'تحليل الفجوة'!$V$4:$V$164,0)),"—")</f>
        <v>ISO 10002:2018</v>
      </c>
      <c r="D58" s="25" t="str">
        <f>IFERROR(INDEX('تحليل الفجوة'!$C$4:$C$164,MATCH(11,'تحليل الفجوة'!$V$4:$V$164,0)),"—")</f>
        <v>6.3</v>
      </c>
      <c r="E58" s="13" t="str">
        <f>IFERROR(INDEX('تحليل الفجوة'!$D$4:$D$164,MATCH(11,'تحليل الفجوة'!$V$4:$V$164,0)),"—")</f>
        <v>أنشطة عملية معالجة الشكاوى</v>
      </c>
      <c r="F58" s="25" t="str">
        <f>IFERROR(INDEX('تحليل الفجوة'!$N$4:$N$164,MATCH(11,'تحليل الفجوة'!$V$4:$V$164,0)),"—")</f>
        <v>عدم مطابقة كبرى</v>
      </c>
      <c r="G58" s="25" t="str">
        <f>IFERROR(INDEX('التخطيط والتنفيذ'!$N$4:$N$164,MATCH(11,'تحليل الفجوة'!$V$4:$V$164,0)),"—")</f>
        <v>إدارة المراجعة الداخلية</v>
      </c>
      <c r="H58" s="25" t="str">
        <f>IFERROR(INDEX('التخطيط والتنفيذ'!$R$4:$R$164,MATCH(11,'تحليل الفجوة'!$V$4:$V$164,0)),"—")</f>
        <v>جارٍ التنفيذ</v>
      </c>
    </row>
    <row r="59" spans="2:10" ht="26" customHeight="1" x14ac:dyDescent="0.3">
      <c r="B59" s="11">
        <v>12</v>
      </c>
      <c r="C59" s="25" t="str">
        <f>IFERROR(INDEX('تحليل الفجوة'!$B$4:$B$164,MATCH(12,'تحليل الفجوة'!$V$4:$V$164,0)),"—")</f>
        <v>ISO 10004:2018</v>
      </c>
      <c r="D59" s="25" t="str">
        <f>IFERROR(INDEX('تحليل الفجوة'!$C$4:$C$164,MATCH(12,'تحليل الفجوة'!$V$4:$V$164,0)),"—")</f>
        <v>4.3.3</v>
      </c>
      <c r="E59" s="13" t="str">
        <f>IFERROR(INDEX('تحليل الفجوة'!$D$4:$D$164,MATCH(12,'تحليل الفجوة'!$V$4:$V$164,0)),"—")</f>
        <v>الشفافية</v>
      </c>
      <c r="F59" s="25" t="str">
        <f>IFERROR(INDEX('تحليل الفجوة'!$N$4:$N$164,MATCH(12,'تحليل الفجوة'!$V$4:$V$164,0)),"—")</f>
        <v>ملاحظة</v>
      </c>
      <c r="G59" s="25" t="str">
        <f>IFERROR(INDEX('التخطيط والتنفيذ'!$N$4:$N$164,MATCH(12,'تحليل الفجوة'!$V$4:$V$164,0)),"—")</f>
        <v>إدارة خدمة المستفيدين</v>
      </c>
      <c r="H59" s="25" t="str">
        <f>IFERROR(INDEX('التخطيط والتنفيذ'!$R$4:$R$164,MATCH(12,'تحليل الفجوة'!$V$4:$V$164,0)),"—")</f>
        <v>جارٍ التنفيذ</v>
      </c>
    </row>
    <row r="60" spans="2:10" ht="26" customHeight="1" x14ac:dyDescent="0.3">
      <c r="B60" s="11">
        <v>13</v>
      </c>
      <c r="C60" s="25" t="str">
        <f>IFERROR(INDEX('تحليل الفجوة'!$B$4:$B$164,MATCH(13,'تحليل الفجوة'!$V$4:$V$164,0)),"—")</f>
        <v>ISO 10004:2018</v>
      </c>
      <c r="D60" s="25" t="str">
        <f>IFERROR(INDEX('تحليل الفجوة'!$C$4:$C$164,MATCH(13,'تحليل الفجوة'!$V$4:$V$164,0)),"—")</f>
        <v>4.3.14</v>
      </c>
      <c r="E60" s="13" t="str">
        <f>IFERROR(INDEX('تحليل الفجوة'!$D$4:$D$164,MATCH(13,'تحليل الفجوة'!$V$4:$V$164,0)),"—")</f>
        <v>استمرارية القياس</v>
      </c>
      <c r="F60" s="25" t="str">
        <f>IFERROR(INDEX('تحليل الفجوة'!$N$4:$N$164,MATCH(13,'تحليل الفجوة'!$V$4:$V$164,0)),"—")</f>
        <v>عدم مطابقة صغرى</v>
      </c>
      <c r="G60" s="25" t="str">
        <f>IFERROR(INDEX('التخطيط والتنفيذ'!$N$4:$N$164,MATCH(13,'تحليل الفجوة'!$V$4:$V$164,0)),"—")</f>
        <v>إدارة التحول الرقمي</v>
      </c>
      <c r="H60" s="25" t="str">
        <f>IFERROR(INDEX('التخطيط والتنفيذ'!$R$4:$R$164,MATCH(13,'تحليل الفجوة'!$V$4:$V$164,0)),"—")</f>
        <v>مكتمل</v>
      </c>
    </row>
    <row r="61" spans="2:10" ht="26" customHeight="1" x14ac:dyDescent="0.3">
      <c r="B61" s="11">
        <v>14</v>
      </c>
      <c r="C61" s="25" t="str">
        <f>IFERROR(INDEX('تحليل الفجوة'!$B$4:$B$164,MATCH(14,'تحليل الفجوة'!$V$4:$V$164,0)),"—")</f>
        <v>ISO 10004:2018</v>
      </c>
      <c r="D61" s="25" t="str">
        <f>IFERROR(INDEX('تحليل الفجوة'!$C$4:$C$164,MATCH(14,'تحليل الفجوة'!$V$4:$V$164,0)),"—")</f>
        <v>7.3.1</v>
      </c>
      <c r="E61" s="13" t="str">
        <f>IFERROR(INDEX('تحليل الفجوة'!$D$4:$D$164,MATCH(14,'تحليل الفجوة'!$V$4:$V$164,0)),"—")</f>
        <v>تحديد واختيار الخصائص المتعلقة برضا المستفيد</v>
      </c>
      <c r="F61" s="25" t="str">
        <f>IFERROR(INDEX('تحليل الفجوة'!$N$4:$N$164,MATCH(14,'تحليل الفجوة'!$V$4:$V$164,0)),"—")</f>
        <v>عدم مطابقة صغرى</v>
      </c>
      <c r="G61" s="25" t="str">
        <f>IFERROR(INDEX('التخطيط والتنفيذ'!$N$4:$N$164,MATCH(14,'تحليل الفجوة'!$V$4:$V$164,0)),"—")</f>
        <v>إدارة خدمة المستفيدين</v>
      </c>
      <c r="H61" s="25" t="str">
        <f>IFERROR(INDEX('التخطيط والتنفيذ'!$R$4:$R$164,MATCH(14,'تحليل الفجوة'!$V$4:$V$164,0)),"—")</f>
        <v>مكتمل</v>
      </c>
    </row>
    <row r="63" spans="2:10" x14ac:dyDescent="0.3">
      <c r="B63" s="43" t="s">
        <v>766</v>
      </c>
      <c r="C63" s="29"/>
      <c r="D63" s="29"/>
      <c r="E63" s="29"/>
      <c r="F63" s="29"/>
      <c r="G63" s="29"/>
      <c r="H63" s="29"/>
      <c r="I63" s="29"/>
      <c r="J63" s="29"/>
    </row>
    <row r="64" spans="2:10" x14ac:dyDescent="0.3">
      <c r="B64" s="29"/>
      <c r="C64" s="29"/>
      <c r="D64" s="29"/>
      <c r="E64" s="29"/>
      <c r="F64" s="29"/>
      <c r="G64" s="29"/>
      <c r="H64" s="29"/>
      <c r="I64" s="29"/>
      <c r="J64" s="29"/>
    </row>
    <row r="65" spans="2:10" x14ac:dyDescent="0.3">
      <c r="B65" s="29"/>
      <c r="C65" s="29"/>
      <c r="D65" s="29"/>
      <c r="E65" s="29"/>
      <c r="F65" s="29"/>
      <c r="G65" s="29"/>
      <c r="H65" s="29"/>
      <c r="I65" s="29"/>
      <c r="J65" s="29"/>
    </row>
  </sheetData>
  <sheetProtection algorithmName="SHA-512" hashValue="Ql2R0GyvUzJWBbv4XorrRfLRxzFYV+lJaDlUCTx4bQ1x/AtKg7Hd3tWSPgv6e72b8khIZMFZmNjbE1a7eteoRg==" saltValue="Z/DR7QyImAqjV1luMQbGaQ==" spinCount="100000" sheet="1" objects="1" scenarios="1"/>
  <mergeCells count="31">
    <mergeCell ref="A46:J46"/>
    <mergeCell ref="E24:J24"/>
    <mergeCell ref="B63:J65"/>
    <mergeCell ref="B5:C5"/>
    <mergeCell ref="A2:J2"/>
    <mergeCell ref="A18:J18"/>
    <mergeCell ref="D5:E5"/>
    <mergeCell ref="E23:J23"/>
    <mergeCell ref="A27:J27"/>
    <mergeCell ref="H5:I5"/>
    <mergeCell ref="H8:I8"/>
    <mergeCell ref="E20:J20"/>
    <mergeCell ref="A1:J1"/>
    <mergeCell ref="E22:J22"/>
    <mergeCell ref="B9:C9"/>
    <mergeCell ref="D9:E9"/>
    <mergeCell ref="E21:J21"/>
    <mergeCell ref="F9:G9"/>
    <mergeCell ref="D8:E8"/>
    <mergeCell ref="B6:C6"/>
    <mergeCell ref="A34:J34"/>
    <mergeCell ref="B8:C8"/>
    <mergeCell ref="F8:G8"/>
    <mergeCell ref="A11:J11"/>
    <mergeCell ref="E25:J25"/>
    <mergeCell ref="A4:J4"/>
    <mergeCell ref="F6:G6"/>
    <mergeCell ref="H9:I9"/>
    <mergeCell ref="D6:E6"/>
    <mergeCell ref="H6:I6"/>
    <mergeCell ref="F5:G5"/>
  </mergeCells>
  <conditionalFormatting sqref="B20:B25">
    <cfRule type="cellIs" dxfId="21" priority="2" operator="equal">
      <formula>"مطابق"</formula>
    </cfRule>
    <cfRule type="cellIs" dxfId="20" priority="3" operator="equal">
      <formula>"عدم مطابقة كبرى"</formula>
    </cfRule>
    <cfRule type="cellIs" dxfId="19" priority="4" operator="equal">
      <formula>"عدم مطابقة صغرى"</formula>
    </cfRule>
    <cfRule type="cellIs" dxfId="18" priority="5" operator="equal">
      <formula>"ملاحظة"</formula>
    </cfRule>
    <cfRule type="cellIs" dxfId="17" priority="6" operator="equal">
      <formula>"فرصة تحسين"</formula>
    </cfRule>
    <cfRule type="cellIs" dxfId="16" priority="7" operator="equal">
      <formula>"لم يُدقق"</formula>
    </cfRule>
  </conditionalFormatting>
  <conditionalFormatting sqref="B29:B32">
    <cfRule type="cellIs" dxfId="15" priority="8" operator="equal">
      <formula>"حرجة"</formula>
    </cfRule>
    <cfRule type="cellIs" dxfId="14" priority="9" operator="equal">
      <formula>"عالية"</formula>
    </cfRule>
    <cfRule type="cellIs" dxfId="13" priority="10" operator="equal">
      <formula>"متوسطة"</formula>
    </cfRule>
    <cfRule type="cellIs" dxfId="12" priority="11" operator="equal">
      <formula>"منخفضة"</formula>
    </cfRule>
  </conditionalFormatting>
  <conditionalFormatting sqref="F36:F44">
    <cfRule type="colorScale" priority="12">
      <colorScale>
        <cfvo type="min"/>
        <cfvo type="percentile" val="50"/>
        <cfvo type="max"/>
        <color rgb="FFF8CECC"/>
        <color rgb="FFFFF2CC"/>
        <color rgb="FFD5E8D4"/>
      </colorScale>
    </cfRule>
  </conditionalFormatting>
  <conditionalFormatting sqref="F48:F61">
    <cfRule type="cellIs" dxfId="11" priority="13" operator="equal">
      <formula>"عدم مطابقة كبرى"</formula>
    </cfRule>
    <cfRule type="cellIs" dxfId="10" priority="14" operator="equal">
      <formula>"عدم مطابقة صغرى"</formula>
    </cfRule>
    <cfRule type="cellIs" dxfId="9" priority="15" operator="equal">
      <formula>"ملاحظة"</formula>
    </cfRule>
    <cfRule type="cellIs" dxfId="8" priority="16" operator="equal">
      <formula>"فرصة تحسين"</formula>
    </cfRule>
    <cfRule type="cellIs" dxfId="7" priority="17" operator="equal">
      <formula>"مطابق"</formula>
    </cfRule>
    <cfRule type="cellIs" dxfId="6" priority="18" operator="equal">
      <formula>"—"</formula>
    </cfRule>
  </conditionalFormatting>
  <conditionalFormatting sqref="H13:H16">
    <cfRule type="colorScale" priority="1">
      <colorScale>
        <cfvo type="min"/>
        <cfvo type="percentile" val="50"/>
        <cfvo type="max"/>
        <color rgb="FFF8CECC"/>
        <color rgb="FFFFF2CC"/>
        <color rgb="FFD5E8D4"/>
      </colorScale>
    </cfRule>
  </conditionalFormatting>
  <conditionalFormatting sqref="H48:H61">
    <cfRule type="cellIs" dxfId="5" priority="19" operator="equal">
      <formula>"مكتمل"</formula>
    </cfRule>
    <cfRule type="cellIs" dxfId="4" priority="20" operator="equal">
      <formula>"جارٍ التنفيذ"</formula>
    </cfRule>
    <cfRule type="cellIs" dxfId="3" priority="21" operator="equal">
      <formula>"لم يبدأ"</formula>
    </cfRule>
    <cfRule type="cellIs" dxfId="2" priority="22" operator="equal">
      <formula>"متوقف"</formula>
    </cfRule>
    <cfRule type="cellIs" dxfId="1" priority="23" operator="equal">
      <formula>"مؤجل"</formula>
    </cfRule>
    <cfRule type="cellIs" dxfId="0" priority="24" operator="equal">
      <formula>"—"</formula>
    </cfRule>
  </conditionalFormatting>
  <printOptions horizontalCentered="1"/>
  <pageMargins left="0.25" right="0.25" top="0.4" bottom="0.4" header="0.2" footer="0.2"/>
  <pageSetup paperSize="9" fitToHeight="0" orientation="landscape"/>
  <headerFooter>
    <oddFooter>&amp;C&amp;8 &amp;K808080امتثال · Imtithal — IMT-ISE-IM-TMP-001 v1.0  ·  صفحة &amp;P من &amp;N</oddFooter>
  </headerFooter>
  <rowBreaks count="1" manualBreakCount="1">
    <brk id="4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الغلاف</vt:lpstr>
      <vt:lpstr>دليل الاستخدام</vt:lpstr>
      <vt:lpstr>القوائم</vt:lpstr>
      <vt:lpstr>تحليل الفجوة</vt:lpstr>
      <vt:lpstr>التخطيط والتنفيذ</vt:lpstr>
      <vt:lpstr>سجل الأدلة</vt:lpstr>
      <vt:lpstr>لوحة البيانات</vt:lpstr>
      <vt:lpstr>'التخطيط والتنفيذ'!Print_Titles</vt:lpstr>
      <vt:lpstr>'تحليل الفجوة'!Print_Titles</vt:lpstr>
      <vt:lpstr>'سجل الأدلة'!Print_Titles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Yass4479 Baset</cp:lastModifiedBy>
  <dcterms:created xsi:type="dcterms:W3CDTF">2026-08-18T07:37:12Z</dcterms:created>
  <dcterms:modified xsi:type="dcterms:W3CDTF">2026-08-18T07:43:33Z</dcterms:modified>
</cp:coreProperties>
</file>