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y_abd\Downloads\"/>
    </mc:Choice>
  </mc:AlternateContent>
  <xr:revisionPtr revIDLastSave="0" documentId="13_ncr:1_{AC28FAC5-DDB4-4EC0-A609-34F8B8B5F648}" xr6:coauthVersionLast="47" xr6:coauthVersionMax="47" xr10:uidLastSave="{00000000-0000-0000-0000-000000000000}"/>
  <bookViews>
    <workbookView xWindow="-110" yWindow="-110" windowWidth="25820" windowHeight="15500" tabRatio="500" firstSheet="5" activeTab="8" xr2:uid="{00000000-000D-0000-FFFF-FFFF00000000}"/>
  </bookViews>
  <sheets>
    <sheet name="الدليل" sheetId="1" r:id="rId1"/>
    <sheet name="الإعدادات" sheetId="2" r:id="rId2"/>
    <sheet name="الرموز" sheetId="3" r:id="rId3"/>
    <sheet name="الموظفون" sheetId="4" r:id="rId4"/>
    <sheet name="التقويم" sheetId="5" r:id="rId5"/>
    <sheet name="الحضور" sheetId="6" r:id="rId6"/>
    <sheet name="التوقيت" sheetId="7" r:id="rId7"/>
    <sheet name="الجزاءات" sheetId="8" r:id="rId8"/>
    <sheet name="الأرصدة" sheetId="9" r:id="rId9"/>
    <sheet name="التجميع" sheetId="10" r:id="rId10"/>
    <sheet name="التنبيهات" sheetId="11" r:id="rId11"/>
    <sheet name="الرواتب" sheetId="12" r:id="rId12"/>
    <sheet name="المؤشرات" sheetId="13" r:id="rId13"/>
    <sheet name="الكشف" sheetId="14" r:id="rId14"/>
    <sheet name="الإنذار" sheetId="15" r:id="rId1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9" i="15" l="1"/>
  <c r="C8" i="15"/>
  <c r="C26" i="14"/>
  <c r="C12" i="14"/>
  <c r="C10" i="14"/>
  <c r="C9" i="14"/>
  <c r="C8" i="14"/>
  <c r="C7" i="14"/>
  <c r="B6" i="13"/>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6" i="12"/>
  <c r="B46" i="11"/>
  <c r="B45" i="11"/>
  <c r="B44" i="11"/>
  <c r="B43" i="11"/>
  <c r="B42" i="11"/>
  <c r="J41" i="11"/>
  <c r="K41" i="11" s="1"/>
  <c r="I41" i="11"/>
  <c r="H41" i="11"/>
  <c r="G41" i="11"/>
  <c r="F41"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CF45" i="10"/>
  <c r="CE45" i="10"/>
  <c r="CD45" i="10"/>
  <c r="CC45" i="10"/>
  <c r="CB45" i="10"/>
  <c r="CA45" i="10"/>
  <c r="BZ45" i="10"/>
  <c r="BY45" i="10"/>
  <c r="BX45" i="10"/>
  <c r="BW45" i="10"/>
  <c r="BV45" i="10"/>
  <c r="BU45" i="10"/>
  <c r="BT45" i="10"/>
  <c r="BS45" i="10"/>
  <c r="BR45" i="10"/>
  <c r="BQ45" i="10"/>
  <c r="BP45" i="10"/>
  <c r="BO45" i="10"/>
  <c r="BN45" i="10"/>
  <c r="BM45" i="10"/>
  <c r="BL45" i="10"/>
  <c r="BK45" i="10"/>
  <c r="BJ45" i="10"/>
  <c r="BI45" i="10"/>
  <c r="BH45" i="10"/>
  <c r="BG45" i="10"/>
  <c r="BF45" i="10"/>
  <c r="BE45" i="10"/>
  <c r="BD45" i="10"/>
  <c r="BC45" i="10"/>
  <c r="BB45" i="10"/>
  <c r="AZ45" i="10"/>
  <c r="AY45" i="10"/>
  <c r="AX45" i="10"/>
  <c r="AW45" i="10"/>
  <c r="AV45" i="10"/>
  <c r="AU45" i="10"/>
  <c r="AT45" i="10"/>
  <c r="AS45" i="10"/>
  <c r="AR45" i="10"/>
  <c r="AQ45" i="10"/>
  <c r="AP45" i="10"/>
  <c r="AO45" i="10"/>
  <c r="AN45" i="10"/>
  <c r="AM45" i="10"/>
  <c r="AL45" i="10"/>
  <c r="B45" i="10"/>
  <c r="B44" i="10"/>
  <c r="B43" i="10"/>
  <c r="B42" i="10"/>
  <c r="B41" i="10"/>
  <c r="B40" i="10"/>
  <c r="CF39" i="10"/>
  <c r="CE39" i="10"/>
  <c r="CD39" i="10"/>
  <c r="CC39" i="10"/>
  <c r="CB39" i="10"/>
  <c r="CA39" i="10"/>
  <c r="BZ39" i="10"/>
  <c r="BY39" i="10"/>
  <c r="BX39" i="10"/>
  <c r="BW39" i="10"/>
  <c r="BV39" i="10"/>
  <c r="BU39" i="10"/>
  <c r="BT39" i="10"/>
  <c r="BS39" i="10"/>
  <c r="BR39" i="10"/>
  <c r="BQ39" i="10"/>
  <c r="BP39" i="10"/>
  <c r="BO39" i="10"/>
  <c r="BN39" i="10"/>
  <c r="BM39" i="10"/>
  <c r="BL39" i="10"/>
  <c r="BK39" i="10"/>
  <c r="BJ39" i="10"/>
  <c r="BI39" i="10"/>
  <c r="BH39" i="10"/>
  <c r="BG39" i="10"/>
  <c r="BF39" i="10"/>
  <c r="BE39" i="10"/>
  <c r="BD39" i="10"/>
  <c r="BC39" i="10"/>
  <c r="BB39" i="10"/>
  <c r="AZ39" i="10"/>
  <c r="B39" i="10"/>
  <c r="B38" i="10"/>
  <c r="B37" i="10"/>
  <c r="B36" i="10"/>
  <c r="B35" i="10"/>
  <c r="B34" i="10"/>
  <c r="B33" i="10"/>
  <c r="B32" i="10"/>
  <c r="B31" i="10"/>
  <c r="B30" i="10"/>
  <c r="B29" i="10"/>
  <c r="B28" i="10"/>
  <c r="B27" i="10"/>
  <c r="B26" i="10"/>
  <c r="B25" i="10"/>
  <c r="B24" i="10"/>
  <c r="B23" i="10"/>
  <c r="CF22" i="10"/>
  <c r="CE22" i="10"/>
  <c r="CC22" i="10"/>
  <c r="CD22" i="10" s="1"/>
  <c r="CB22" i="10"/>
  <c r="CA22" i="10"/>
  <c r="BZ22" i="10"/>
  <c r="BY22" i="10"/>
  <c r="BU22" i="10"/>
  <c r="BV22" i="10" s="1"/>
  <c r="BW22" i="10" s="1"/>
  <c r="BT22" i="10"/>
  <c r="BS22" i="10"/>
  <c r="BR22" i="10"/>
  <c r="BQ22" i="10"/>
  <c r="BN22" i="10"/>
  <c r="BO22" i="10" s="1"/>
  <c r="BP22" i="10" s="1"/>
  <c r="BM22" i="10"/>
  <c r="BL22" i="10"/>
  <c r="BK22" i="10"/>
  <c r="BJ22" i="10"/>
  <c r="BG22" i="10"/>
  <c r="BH22" i="10" s="1"/>
  <c r="BI22" i="10" s="1"/>
  <c r="BF22" i="10"/>
  <c r="BE22" i="10"/>
  <c r="BD22" i="10"/>
  <c r="BC22" i="10"/>
  <c r="BB22" i="10"/>
  <c r="AZ22" i="10"/>
  <c r="AY22" i="10"/>
  <c r="AV22" i="10"/>
  <c r="AW22" i="10" s="1"/>
  <c r="AX22" i="10" s="1"/>
  <c r="AU22" i="10"/>
  <c r="AT22" i="10"/>
  <c r="AS22" i="10"/>
  <c r="AR22" i="10"/>
  <c r="AO22" i="10"/>
  <c r="AP22" i="10" s="1"/>
  <c r="AQ22" i="10" s="1"/>
  <c r="AN22" i="10"/>
  <c r="AM22" i="10"/>
  <c r="AL22" i="10"/>
  <c r="AK22" i="10"/>
  <c r="AH22" i="10"/>
  <c r="AI22" i="10" s="1"/>
  <c r="AJ22" i="10" s="1"/>
  <c r="AG22" i="10"/>
  <c r="AF22" i="10"/>
  <c r="AE22" i="10"/>
  <c r="AD22" i="10"/>
  <c r="B22" i="10"/>
  <c r="B21" i="10"/>
  <c r="B20" i="10"/>
  <c r="B19" i="10"/>
  <c r="B18" i="10"/>
  <c r="B17" i="10"/>
  <c r="B16" i="10"/>
  <c r="B15" i="10"/>
  <c r="B14" i="10"/>
  <c r="B13" i="10"/>
  <c r="B12" i="10"/>
  <c r="B11" i="10"/>
  <c r="B10" i="10"/>
  <c r="B9" i="10"/>
  <c r="B8" i="10"/>
  <c r="B7" i="10"/>
  <c r="B6" i="10"/>
  <c r="B45" i="9"/>
  <c r="B44" i="9"/>
  <c r="B43" i="9"/>
  <c r="B42" i="9"/>
  <c r="B41" i="9"/>
  <c r="B40" i="9"/>
  <c r="N39" i="9"/>
  <c r="M39" i="9"/>
  <c r="L39" i="9"/>
  <c r="K39" i="9"/>
  <c r="J39" i="9"/>
  <c r="I39" i="9"/>
  <c r="H39"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61" i="8"/>
  <c r="B60" i="8"/>
  <c r="B59" i="8"/>
  <c r="B58" i="8"/>
  <c r="B57" i="8"/>
  <c r="B56" i="8"/>
  <c r="B55" i="8"/>
  <c r="B54" i="8"/>
  <c r="B53" i="8"/>
  <c r="B52" i="8"/>
  <c r="B51" i="8"/>
  <c r="B50" i="8"/>
  <c r="B49" i="8"/>
  <c r="B48" i="8"/>
  <c r="B47" i="8"/>
  <c r="B46" i="8"/>
  <c r="B45" i="8"/>
  <c r="B44" i="8"/>
  <c r="B43" i="8"/>
  <c r="B42" i="8"/>
  <c r="B41" i="8"/>
  <c r="B40" i="8"/>
  <c r="B39" i="8"/>
  <c r="B38" i="8"/>
  <c r="B37" i="8"/>
  <c r="B36" i="8"/>
  <c r="B35" i="8"/>
  <c r="B34" i="8"/>
  <c r="B33" i="8"/>
  <c r="B32" i="8"/>
  <c r="B31" i="8"/>
  <c r="B30" i="8"/>
  <c r="B29" i="8"/>
  <c r="B28" i="8"/>
  <c r="B27" i="8"/>
  <c r="B26" i="8"/>
  <c r="B25" i="8"/>
  <c r="B24" i="8"/>
  <c r="B23" i="8"/>
  <c r="B22" i="8"/>
  <c r="H405" i="7"/>
  <c r="I405" i="7" s="1"/>
  <c r="D405" i="7"/>
  <c r="G405" i="7" s="1"/>
  <c r="J405" i="7" s="1"/>
  <c r="K405" i="7" s="1"/>
  <c r="C405" i="7"/>
  <c r="H404" i="7"/>
  <c r="I404" i="7" s="1"/>
  <c r="D404" i="7"/>
  <c r="G404" i="7" s="1"/>
  <c r="J404" i="7" s="1"/>
  <c r="K404" i="7" s="1"/>
  <c r="C404" i="7"/>
  <c r="H403" i="7"/>
  <c r="I403" i="7" s="1"/>
  <c r="D403" i="7"/>
  <c r="G403" i="7" s="1"/>
  <c r="J403" i="7" s="1"/>
  <c r="K403" i="7" s="1"/>
  <c r="C403" i="7"/>
  <c r="H402" i="7"/>
  <c r="I402" i="7" s="1"/>
  <c r="D402" i="7"/>
  <c r="G402" i="7" s="1"/>
  <c r="J402" i="7" s="1"/>
  <c r="K402" i="7" s="1"/>
  <c r="C402" i="7"/>
  <c r="H401" i="7"/>
  <c r="I401" i="7" s="1"/>
  <c r="D401" i="7"/>
  <c r="G401" i="7" s="1"/>
  <c r="J401" i="7" s="1"/>
  <c r="K401" i="7" s="1"/>
  <c r="C401" i="7"/>
  <c r="H400" i="7"/>
  <c r="I400" i="7" s="1"/>
  <c r="D400" i="7"/>
  <c r="G400" i="7" s="1"/>
  <c r="J400" i="7" s="1"/>
  <c r="K400" i="7" s="1"/>
  <c r="C400" i="7"/>
  <c r="H399" i="7"/>
  <c r="I399" i="7" s="1"/>
  <c r="D399" i="7"/>
  <c r="G399" i="7" s="1"/>
  <c r="J399" i="7" s="1"/>
  <c r="K399" i="7" s="1"/>
  <c r="C399" i="7"/>
  <c r="H398" i="7"/>
  <c r="I398" i="7" s="1"/>
  <c r="D398" i="7"/>
  <c r="G398" i="7" s="1"/>
  <c r="J398" i="7" s="1"/>
  <c r="K398" i="7" s="1"/>
  <c r="C398" i="7"/>
  <c r="H397" i="7"/>
  <c r="I397" i="7" s="1"/>
  <c r="D397" i="7"/>
  <c r="G397" i="7" s="1"/>
  <c r="J397" i="7" s="1"/>
  <c r="K397" i="7" s="1"/>
  <c r="C397" i="7"/>
  <c r="H396" i="7"/>
  <c r="I396" i="7" s="1"/>
  <c r="D396" i="7"/>
  <c r="G396" i="7" s="1"/>
  <c r="J396" i="7" s="1"/>
  <c r="K396" i="7" s="1"/>
  <c r="C396" i="7"/>
  <c r="H395" i="7"/>
  <c r="I395" i="7" s="1"/>
  <c r="D395" i="7"/>
  <c r="G395" i="7" s="1"/>
  <c r="J395" i="7" s="1"/>
  <c r="K395" i="7" s="1"/>
  <c r="C395" i="7"/>
  <c r="H394" i="7"/>
  <c r="I394" i="7" s="1"/>
  <c r="D394" i="7"/>
  <c r="G394" i="7" s="1"/>
  <c r="J394" i="7" s="1"/>
  <c r="K394" i="7" s="1"/>
  <c r="C394" i="7"/>
  <c r="H393" i="7"/>
  <c r="I393" i="7" s="1"/>
  <c r="D393" i="7"/>
  <c r="G393" i="7" s="1"/>
  <c r="J393" i="7" s="1"/>
  <c r="K393" i="7" s="1"/>
  <c r="C393" i="7"/>
  <c r="H392" i="7"/>
  <c r="I392" i="7" s="1"/>
  <c r="D392" i="7"/>
  <c r="G392" i="7" s="1"/>
  <c r="J392" i="7" s="1"/>
  <c r="K392" i="7" s="1"/>
  <c r="C392" i="7"/>
  <c r="H391" i="7"/>
  <c r="I391" i="7" s="1"/>
  <c r="D391" i="7"/>
  <c r="G391" i="7" s="1"/>
  <c r="J391" i="7" s="1"/>
  <c r="K391" i="7" s="1"/>
  <c r="C391" i="7"/>
  <c r="H390" i="7"/>
  <c r="I390" i="7" s="1"/>
  <c r="D390" i="7"/>
  <c r="G390" i="7" s="1"/>
  <c r="J390" i="7" s="1"/>
  <c r="K390" i="7" s="1"/>
  <c r="C390" i="7"/>
  <c r="H389" i="7"/>
  <c r="I389" i="7" s="1"/>
  <c r="D389" i="7"/>
  <c r="G389" i="7" s="1"/>
  <c r="J389" i="7" s="1"/>
  <c r="K389" i="7" s="1"/>
  <c r="C389" i="7"/>
  <c r="H388" i="7"/>
  <c r="I388" i="7" s="1"/>
  <c r="D388" i="7"/>
  <c r="G388" i="7" s="1"/>
  <c r="J388" i="7" s="1"/>
  <c r="K388" i="7" s="1"/>
  <c r="C388" i="7"/>
  <c r="H387" i="7"/>
  <c r="I387" i="7" s="1"/>
  <c r="D387" i="7"/>
  <c r="G387" i="7" s="1"/>
  <c r="J387" i="7" s="1"/>
  <c r="K387" i="7" s="1"/>
  <c r="C387" i="7"/>
  <c r="H386" i="7"/>
  <c r="I386" i="7" s="1"/>
  <c r="D386" i="7"/>
  <c r="G386" i="7" s="1"/>
  <c r="J386" i="7" s="1"/>
  <c r="K386" i="7" s="1"/>
  <c r="C386" i="7"/>
  <c r="H385" i="7"/>
  <c r="I385" i="7" s="1"/>
  <c r="D385" i="7"/>
  <c r="G385" i="7" s="1"/>
  <c r="J385" i="7" s="1"/>
  <c r="K385" i="7" s="1"/>
  <c r="C385" i="7"/>
  <c r="H384" i="7"/>
  <c r="I384" i="7" s="1"/>
  <c r="D384" i="7"/>
  <c r="G384" i="7" s="1"/>
  <c r="J384" i="7" s="1"/>
  <c r="K384" i="7" s="1"/>
  <c r="C384" i="7"/>
  <c r="H383" i="7"/>
  <c r="I383" i="7" s="1"/>
  <c r="D383" i="7"/>
  <c r="G383" i="7" s="1"/>
  <c r="J383" i="7" s="1"/>
  <c r="K383" i="7" s="1"/>
  <c r="C383" i="7"/>
  <c r="H382" i="7"/>
  <c r="I382" i="7" s="1"/>
  <c r="D382" i="7"/>
  <c r="G382" i="7" s="1"/>
  <c r="J382" i="7" s="1"/>
  <c r="K382" i="7" s="1"/>
  <c r="C382" i="7"/>
  <c r="H381" i="7"/>
  <c r="I381" i="7" s="1"/>
  <c r="D381" i="7"/>
  <c r="G381" i="7" s="1"/>
  <c r="J381" i="7" s="1"/>
  <c r="K381" i="7" s="1"/>
  <c r="C381" i="7"/>
  <c r="H380" i="7"/>
  <c r="I380" i="7" s="1"/>
  <c r="D380" i="7"/>
  <c r="G380" i="7" s="1"/>
  <c r="J380" i="7" s="1"/>
  <c r="K380" i="7" s="1"/>
  <c r="C380" i="7"/>
  <c r="H379" i="7"/>
  <c r="I379" i="7" s="1"/>
  <c r="D379" i="7"/>
  <c r="G379" i="7" s="1"/>
  <c r="J379" i="7" s="1"/>
  <c r="K379" i="7" s="1"/>
  <c r="C379" i="7"/>
  <c r="H378" i="7"/>
  <c r="I378" i="7" s="1"/>
  <c r="D378" i="7"/>
  <c r="G378" i="7" s="1"/>
  <c r="J378" i="7" s="1"/>
  <c r="K378" i="7" s="1"/>
  <c r="C378" i="7"/>
  <c r="H377" i="7"/>
  <c r="I377" i="7" s="1"/>
  <c r="D377" i="7"/>
  <c r="G377" i="7" s="1"/>
  <c r="J377" i="7" s="1"/>
  <c r="K377" i="7" s="1"/>
  <c r="C377" i="7"/>
  <c r="H376" i="7"/>
  <c r="I376" i="7" s="1"/>
  <c r="D376" i="7"/>
  <c r="G376" i="7" s="1"/>
  <c r="J376" i="7" s="1"/>
  <c r="K376" i="7" s="1"/>
  <c r="C376" i="7"/>
  <c r="H375" i="7"/>
  <c r="I375" i="7" s="1"/>
  <c r="D375" i="7"/>
  <c r="G375" i="7" s="1"/>
  <c r="J375" i="7" s="1"/>
  <c r="K375" i="7" s="1"/>
  <c r="C375" i="7"/>
  <c r="H374" i="7"/>
  <c r="I374" i="7" s="1"/>
  <c r="D374" i="7"/>
  <c r="G374" i="7" s="1"/>
  <c r="J374" i="7" s="1"/>
  <c r="K374" i="7" s="1"/>
  <c r="C374" i="7"/>
  <c r="H373" i="7"/>
  <c r="I373" i="7" s="1"/>
  <c r="D373" i="7"/>
  <c r="G373" i="7" s="1"/>
  <c r="J373" i="7" s="1"/>
  <c r="K373" i="7" s="1"/>
  <c r="C373" i="7"/>
  <c r="H372" i="7"/>
  <c r="I372" i="7" s="1"/>
  <c r="D372" i="7"/>
  <c r="G372" i="7" s="1"/>
  <c r="J372" i="7" s="1"/>
  <c r="K372" i="7" s="1"/>
  <c r="C372" i="7"/>
  <c r="H371" i="7"/>
  <c r="I371" i="7" s="1"/>
  <c r="D371" i="7"/>
  <c r="G371" i="7" s="1"/>
  <c r="J371" i="7" s="1"/>
  <c r="K371" i="7" s="1"/>
  <c r="C371" i="7"/>
  <c r="H370" i="7"/>
  <c r="I370" i="7" s="1"/>
  <c r="D370" i="7"/>
  <c r="G370" i="7" s="1"/>
  <c r="J370" i="7" s="1"/>
  <c r="K370" i="7" s="1"/>
  <c r="C370" i="7"/>
  <c r="H369" i="7"/>
  <c r="I369" i="7" s="1"/>
  <c r="D369" i="7"/>
  <c r="G369" i="7" s="1"/>
  <c r="J369" i="7" s="1"/>
  <c r="K369" i="7" s="1"/>
  <c r="C369" i="7"/>
  <c r="H368" i="7"/>
  <c r="I368" i="7" s="1"/>
  <c r="D368" i="7"/>
  <c r="G368" i="7" s="1"/>
  <c r="J368" i="7" s="1"/>
  <c r="K368" i="7" s="1"/>
  <c r="C368" i="7"/>
  <c r="H367" i="7"/>
  <c r="I367" i="7" s="1"/>
  <c r="D367" i="7"/>
  <c r="G367" i="7" s="1"/>
  <c r="J367" i="7" s="1"/>
  <c r="K367" i="7" s="1"/>
  <c r="C367" i="7"/>
  <c r="H366" i="7"/>
  <c r="I366" i="7" s="1"/>
  <c r="D366" i="7"/>
  <c r="G366" i="7" s="1"/>
  <c r="J366" i="7" s="1"/>
  <c r="K366" i="7" s="1"/>
  <c r="C366" i="7"/>
  <c r="H365" i="7"/>
  <c r="I365" i="7" s="1"/>
  <c r="D365" i="7"/>
  <c r="G365" i="7" s="1"/>
  <c r="J365" i="7" s="1"/>
  <c r="K365" i="7" s="1"/>
  <c r="C365" i="7"/>
  <c r="H364" i="7"/>
  <c r="I364" i="7" s="1"/>
  <c r="G364" i="7"/>
  <c r="J364" i="7" s="1"/>
  <c r="K364" i="7" s="1"/>
  <c r="D364" i="7"/>
  <c r="C364" i="7"/>
  <c r="H363" i="7"/>
  <c r="I363" i="7" s="1"/>
  <c r="D363" i="7"/>
  <c r="G363" i="7" s="1"/>
  <c r="J363" i="7" s="1"/>
  <c r="K363" i="7" s="1"/>
  <c r="C363" i="7"/>
  <c r="H362" i="7"/>
  <c r="I362" i="7" s="1"/>
  <c r="D362" i="7"/>
  <c r="G362" i="7" s="1"/>
  <c r="J362" i="7" s="1"/>
  <c r="K362" i="7" s="1"/>
  <c r="C362" i="7"/>
  <c r="H361" i="7"/>
  <c r="I361" i="7" s="1"/>
  <c r="D361" i="7"/>
  <c r="G361" i="7" s="1"/>
  <c r="J361" i="7" s="1"/>
  <c r="K361" i="7" s="1"/>
  <c r="C361" i="7"/>
  <c r="H360" i="7"/>
  <c r="I360" i="7" s="1"/>
  <c r="D360" i="7"/>
  <c r="G360" i="7" s="1"/>
  <c r="J360" i="7" s="1"/>
  <c r="K360" i="7" s="1"/>
  <c r="C360" i="7"/>
  <c r="H359" i="7"/>
  <c r="I359" i="7" s="1"/>
  <c r="D359" i="7"/>
  <c r="G359" i="7" s="1"/>
  <c r="J359" i="7" s="1"/>
  <c r="K359" i="7" s="1"/>
  <c r="C359" i="7"/>
  <c r="H358" i="7"/>
  <c r="I358" i="7" s="1"/>
  <c r="D358" i="7"/>
  <c r="G358" i="7" s="1"/>
  <c r="J358" i="7" s="1"/>
  <c r="K358" i="7" s="1"/>
  <c r="C358" i="7"/>
  <c r="H357" i="7"/>
  <c r="I357" i="7" s="1"/>
  <c r="D357" i="7"/>
  <c r="G357" i="7" s="1"/>
  <c r="J357" i="7" s="1"/>
  <c r="K357" i="7" s="1"/>
  <c r="C357" i="7"/>
  <c r="H356" i="7"/>
  <c r="I356" i="7" s="1"/>
  <c r="D356" i="7"/>
  <c r="G356" i="7" s="1"/>
  <c r="J356" i="7" s="1"/>
  <c r="K356" i="7" s="1"/>
  <c r="C356" i="7"/>
  <c r="H355" i="7"/>
  <c r="I355" i="7" s="1"/>
  <c r="D355" i="7"/>
  <c r="G355" i="7" s="1"/>
  <c r="J355" i="7" s="1"/>
  <c r="K355" i="7" s="1"/>
  <c r="C355" i="7"/>
  <c r="H354" i="7"/>
  <c r="I354" i="7" s="1"/>
  <c r="D354" i="7"/>
  <c r="G354" i="7" s="1"/>
  <c r="J354" i="7" s="1"/>
  <c r="K354" i="7" s="1"/>
  <c r="C354" i="7"/>
  <c r="H353" i="7"/>
  <c r="I353" i="7" s="1"/>
  <c r="D353" i="7"/>
  <c r="G353" i="7" s="1"/>
  <c r="J353" i="7" s="1"/>
  <c r="K353" i="7" s="1"/>
  <c r="C353" i="7"/>
  <c r="H352" i="7"/>
  <c r="I352" i="7" s="1"/>
  <c r="D352" i="7"/>
  <c r="G352" i="7" s="1"/>
  <c r="J352" i="7" s="1"/>
  <c r="K352" i="7" s="1"/>
  <c r="C352" i="7"/>
  <c r="H351" i="7"/>
  <c r="I351" i="7" s="1"/>
  <c r="D351" i="7"/>
  <c r="G351" i="7" s="1"/>
  <c r="J351" i="7" s="1"/>
  <c r="K351" i="7" s="1"/>
  <c r="C351" i="7"/>
  <c r="H350" i="7"/>
  <c r="I350" i="7" s="1"/>
  <c r="D350" i="7"/>
  <c r="G350" i="7" s="1"/>
  <c r="J350" i="7" s="1"/>
  <c r="K350" i="7" s="1"/>
  <c r="C350" i="7"/>
  <c r="H349" i="7"/>
  <c r="I349" i="7" s="1"/>
  <c r="D349" i="7"/>
  <c r="G349" i="7" s="1"/>
  <c r="J349" i="7" s="1"/>
  <c r="K349" i="7" s="1"/>
  <c r="C349" i="7"/>
  <c r="H348" i="7"/>
  <c r="I348" i="7" s="1"/>
  <c r="D348" i="7"/>
  <c r="G348" i="7" s="1"/>
  <c r="J348" i="7" s="1"/>
  <c r="K348" i="7" s="1"/>
  <c r="C348" i="7"/>
  <c r="H347" i="7"/>
  <c r="I347" i="7" s="1"/>
  <c r="D347" i="7"/>
  <c r="G347" i="7" s="1"/>
  <c r="J347" i="7" s="1"/>
  <c r="K347" i="7" s="1"/>
  <c r="C347" i="7"/>
  <c r="H346" i="7"/>
  <c r="I346" i="7" s="1"/>
  <c r="D346" i="7"/>
  <c r="G346" i="7" s="1"/>
  <c r="J346" i="7" s="1"/>
  <c r="K346" i="7" s="1"/>
  <c r="C346" i="7"/>
  <c r="H345" i="7"/>
  <c r="I345" i="7" s="1"/>
  <c r="D345" i="7"/>
  <c r="G345" i="7" s="1"/>
  <c r="J345" i="7" s="1"/>
  <c r="K345" i="7" s="1"/>
  <c r="C345" i="7"/>
  <c r="H344" i="7"/>
  <c r="I344" i="7" s="1"/>
  <c r="D344" i="7"/>
  <c r="G344" i="7" s="1"/>
  <c r="J344" i="7" s="1"/>
  <c r="K344" i="7" s="1"/>
  <c r="C344" i="7"/>
  <c r="H343" i="7"/>
  <c r="I343" i="7" s="1"/>
  <c r="D343" i="7"/>
  <c r="G343" i="7" s="1"/>
  <c r="J343" i="7" s="1"/>
  <c r="K343" i="7" s="1"/>
  <c r="C343" i="7"/>
  <c r="H342" i="7"/>
  <c r="I342" i="7" s="1"/>
  <c r="D342" i="7"/>
  <c r="G342" i="7" s="1"/>
  <c r="J342" i="7" s="1"/>
  <c r="K342" i="7" s="1"/>
  <c r="C342" i="7"/>
  <c r="H341" i="7"/>
  <c r="I341" i="7" s="1"/>
  <c r="D341" i="7"/>
  <c r="G341" i="7" s="1"/>
  <c r="J341" i="7" s="1"/>
  <c r="K341" i="7" s="1"/>
  <c r="C341" i="7"/>
  <c r="H340" i="7"/>
  <c r="I340" i="7" s="1"/>
  <c r="D340" i="7"/>
  <c r="G340" i="7" s="1"/>
  <c r="J340" i="7" s="1"/>
  <c r="K340" i="7" s="1"/>
  <c r="C340" i="7"/>
  <c r="H339" i="7"/>
  <c r="I339" i="7" s="1"/>
  <c r="D339" i="7"/>
  <c r="G339" i="7" s="1"/>
  <c r="J339" i="7" s="1"/>
  <c r="K339" i="7" s="1"/>
  <c r="C339" i="7"/>
  <c r="H338" i="7"/>
  <c r="I338" i="7" s="1"/>
  <c r="D338" i="7"/>
  <c r="G338" i="7" s="1"/>
  <c r="J338" i="7" s="1"/>
  <c r="K338" i="7" s="1"/>
  <c r="C338" i="7"/>
  <c r="H337" i="7"/>
  <c r="I337" i="7" s="1"/>
  <c r="D337" i="7"/>
  <c r="G337" i="7" s="1"/>
  <c r="J337" i="7" s="1"/>
  <c r="K337" i="7" s="1"/>
  <c r="C337" i="7"/>
  <c r="H336" i="7"/>
  <c r="I336" i="7" s="1"/>
  <c r="D336" i="7"/>
  <c r="G336" i="7" s="1"/>
  <c r="J336" i="7" s="1"/>
  <c r="K336" i="7" s="1"/>
  <c r="C336" i="7"/>
  <c r="H335" i="7"/>
  <c r="I335" i="7" s="1"/>
  <c r="D335" i="7"/>
  <c r="G335" i="7" s="1"/>
  <c r="J335" i="7" s="1"/>
  <c r="K335" i="7" s="1"/>
  <c r="C335" i="7"/>
  <c r="H334" i="7"/>
  <c r="I334" i="7" s="1"/>
  <c r="D334" i="7"/>
  <c r="G334" i="7" s="1"/>
  <c r="J334" i="7" s="1"/>
  <c r="K334" i="7" s="1"/>
  <c r="C334" i="7"/>
  <c r="H333" i="7"/>
  <c r="I333" i="7" s="1"/>
  <c r="D333" i="7"/>
  <c r="G333" i="7" s="1"/>
  <c r="J333" i="7" s="1"/>
  <c r="K333" i="7" s="1"/>
  <c r="C333" i="7"/>
  <c r="H332" i="7"/>
  <c r="I332" i="7" s="1"/>
  <c r="D332" i="7"/>
  <c r="G332" i="7" s="1"/>
  <c r="J332" i="7" s="1"/>
  <c r="K332" i="7" s="1"/>
  <c r="C332" i="7"/>
  <c r="H331" i="7"/>
  <c r="I331" i="7" s="1"/>
  <c r="D331" i="7"/>
  <c r="G331" i="7" s="1"/>
  <c r="J331" i="7" s="1"/>
  <c r="K331" i="7" s="1"/>
  <c r="C331" i="7"/>
  <c r="H330" i="7"/>
  <c r="I330" i="7" s="1"/>
  <c r="D330" i="7"/>
  <c r="G330" i="7" s="1"/>
  <c r="J330" i="7" s="1"/>
  <c r="K330" i="7" s="1"/>
  <c r="C330" i="7"/>
  <c r="H329" i="7"/>
  <c r="I329" i="7" s="1"/>
  <c r="D329" i="7"/>
  <c r="G329" i="7" s="1"/>
  <c r="J329" i="7" s="1"/>
  <c r="K329" i="7" s="1"/>
  <c r="C329" i="7"/>
  <c r="H328" i="7"/>
  <c r="I328" i="7" s="1"/>
  <c r="D328" i="7"/>
  <c r="G328" i="7" s="1"/>
  <c r="J328" i="7" s="1"/>
  <c r="K328" i="7" s="1"/>
  <c r="C328" i="7"/>
  <c r="H327" i="7"/>
  <c r="I327" i="7" s="1"/>
  <c r="D327" i="7"/>
  <c r="G327" i="7" s="1"/>
  <c r="J327" i="7" s="1"/>
  <c r="K327" i="7" s="1"/>
  <c r="C327" i="7"/>
  <c r="H326" i="7"/>
  <c r="I326" i="7" s="1"/>
  <c r="D326" i="7"/>
  <c r="G326" i="7" s="1"/>
  <c r="J326" i="7" s="1"/>
  <c r="K326" i="7" s="1"/>
  <c r="C326" i="7"/>
  <c r="H325" i="7"/>
  <c r="I325" i="7" s="1"/>
  <c r="D325" i="7"/>
  <c r="G325" i="7" s="1"/>
  <c r="J325" i="7" s="1"/>
  <c r="K325" i="7" s="1"/>
  <c r="C325" i="7"/>
  <c r="H324" i="7"/>
  <c r="I324" i="7" s="1"/>
  <c r="D324" i="7"/>
  <c r="G324" i="7" s="1"/>
  <c r="J324" i="7" s="1"/>
  <c r="K324" i="7" s="1"/>
  <c r="C324" i="7"/>
  <c r="H323" i="7"/>
  <c r="I323" i="7" s="1"/>
  <c r="D323" i="7"/>
  <c r="G323" i="7" s="1"/>
  <c r="J323" i="7" s="1"/>
  <c r="K323" i="7" s="1"/>
  <c r="C323" i="7"/>
  <c r="H322" i="7"/>
  <c r="I322" i="7" s="1"/>
  <c r="D322" i="7"/>
  <c r="G322" i="7" s="1"/>
  <c r="J322" i="7" s="1"/>
  <c r="K322" i="7" s="1"/>
  <c r="C322" i="7"/>
  <c r="H321" i="7"/>
  <c r="I321" i="7" s="1"/>
  <c r="D321" i="7"/>
  <c r="G321" i="7" s="1"/>
  <c r="J321" i="7" s="1"/>
  <c r="K321" i="7" s="1"/>
  <c r="C321" i="7"/>
  <c r="H320" i="7"/>
  <c r="I320" i="7" s="1"/>
  <c r="D320" i="7"/>
  <c r="G320" i="7" s="1"/>
  <c r="J320" i="7" s="1"/>
  <c r="K320" i="7" s="1"/>
  <c r="C320" i="7"/>
  <c r="H319" i="7"/>
  <c r="I319" i="7" s="1"/>
  <c r="D319" i="7"/>
  <c r="G319" i="7" s="1"/>
  <c r="J319" i="7" s="1"/>
  <c r="K319" i="7" s="1"/>
  <c r="C319" i="7"/>
  <c r="H318" i="7"/>
  <c r="I318" i="7" s="1"/>
  <c r="D318" i="7"/>
  <c r="G318" i="7" s="1"/>
  <c r="J318" i="7" s="1"/>
  <c r="K318" i="7" s="1"/>
  <c r="C318" i="7"/>
  <c r="H317" i="7"/>
  <c r="I317" i="7" s="1"/>
  <c r="D317" i="7"/>
  <c r="G317" i="7" s="1"/>
  <c r="J317" i="7" s="1"/>
  <c r="K317" i="7" s="1"/>
  <c r="C317" i="7"/>
  <c r="H316" i="7"/>
  <c r="I316" i="7" s="1"/>
  <c r="D316" i="7"/>
  <c r="G316" i="7" s="1"/>
  <c r="J316" i="7" s="1"/>
  <c r="K316" i="7" s="1"/>
  <c r="C316" i="7"/>
  <c r="H315" i="7"/>
  <c r="I315" i="7" s="1"/>
  <c r="D315" i="7"/>
  <c r="G315" i="7" s="1"/>
  <c r="J315" i="7" s="1"/>
  <c r="K315" i="7" s="1"/>
  <c r="C315" i="7"/>
  <c r="H314" i="7"/>
  <c r="I314" i="7" s="1"/>
  <c r="D314" i="7"/>
  <c r="G314" i="7" s="1"/>
  <c r="J314" i="7" s="1"/>
  <c r="K314" i="7" s="1"/>
  <c r="C314" i="7"/>
  <c r="H313" i="7"/>
  <c r="I313" i="7" s="1"/>
  <c r="D313" i="7"/>
  <c r="G313" i="7" s="1"/>
  <c r="J313" i="7" s="1"/>
  <c r="K313" i="7" s="1"/>
  <c r="C313" i="7"/>
  <c r="H312" i="7"/>
  <c r="I312" i="7" s="1"/>
  <c r="D312" i="7"/>
  <c r="G312" i="7" s="1"/>
  <c r="J312" i="7" s="1"/>
  <c r="K312" i="7" s="1"/>
  <c r="C312" i="7"/>
  <c r="H311" i="7"/>
  <c r="I311" i="7" s="1"/>
  <c r="D311" i="7"/>
  <c r="G311" i="7" s="1"/>
  <c r="J311" i="7" s="1"/>
  <c r="K311" i="7" s="1"/>
  <c r="C311" i="7"/>
  <c r="H310" i="7"/>
  <c r="I310" i="7" s="1"/>
  <c r="D310" i="7"/>
  <c r="G310" i="7" s="1"/>
  <c r="J310" i="7" s="1"/>
  <c r="K310" i="7" s="1"/>
  <c r="C310" i="7"/>
  <c r="H309" i="7"/>
  <c r="I309" i="7" s="1"/>
  <c r="D309" i="7"/>
  <c r="G309" i="7" s="1"/>
  <c r="J309" i="7" s="1"/>
  <c r="K309" i="7" s="1"/>
  <c r="C309" i="7"/>
  <c r="H308" i="7"/>
  <c r="I308" i="7" s="1"/>
  <c r="D308" i="7"/>
  <c r="G308" i="7" s="1"/>
  <c r="J308" i="7" s="1"/>
  <c r="K308" i="7" s="1"/>
  <c r="C308" i="7"/>
  <c r="H307" i="7"/>
  <c r="I307" i="7" s="1"/>
  <c r="D307" i="7"/>
  <c r="G307" i="7" s="1"/>
  <c r="J307" i="7" s="1"/>
  <c r="K307" i="7" s="1"/>
  <c r="C307" i="7"/>
  <c r="H306" i="7"/>
  <c r="I306" i="7" s="1"/>
  <c r="D306" i="7"/>
  <c r="G306" i="7" s="1"/>
  <c r="J306" i="7" s="1"/>
  <c r="K306" i="7" s="1"/>
  <c r="C306" i="7"/>
  <c r="H305" i="7"/>
  <c r="I305" i="7" s="1"/>
  <c r="D305" i="7"/>
  <c r="G305" i="7" s="1"/>
  <c r="J305" i="7" s="1"/>
  <c r="K305" i="7" s="1"/>
  <c r="C305" i="7"/>
  <c r="H304" i="7"/>
  <c r="I304" i="7" s="1"/>
  <c r="D304" i="7"/>
  <c r="G304" i="7" s="1"/>
  <c r="J304" i="7" s="1"/>
  <c r="K304" i="7" s="1"/>
  <c r="C304" i="7"/>
  <c r="H303" i="7"/>
  <c r="I303" i="7" s="1"/>
  <c r="D303" i="7"/>
  <c r="G303" i="7" s="1"/>
  <c r="J303" i="7" s="1"/>
  <c r="K303" i="7" s="1"/>
  <c r="C303" i="7"/>
  <c r="H302" i="7"/>
  <c r="I302" i="7" s="1"/>
  <c r="D302" i="7"/>
  <c r="G302" i="7" s="1"/>
  <c r="J302" i="7" s="1"/>
  <c r="K302" i="7" s="1"/>
  <c r="C302" i="7"/>
  <c r="H301" i="7"/>
  <c r="I301" i="7" s="1"/>
  <c r="D301" i="7"/>
  <c r="G301" i="7" s="1"/>
  <c r="J301" i="7" s="1"/>
  <c r="K301" i="7" s="1"/>
  <c r="C301" i="7"/>
  <c r="H300" i="7"/>
  <c r="I300" i="7" s="1"/>
  <c r="D300" i="7"/>
  <c r="G300" i="7" s="1"/>
  <c r="J300" i="7" s="1"/>
  <c r="K300" i="7" s="1"/>
  <c r="C300" i="7"/>
  <c r="H299" i="7"/>
  <c r="I299" i="7" s="1"/>
  <c r="D299" i="7"/>
  <c r="G299" i="7" s="1"/>
  <c r="J299" i="7" s="1"/>
  <c r="K299" i="7" s="1"/>
  <c r="C299" i="7"/>
  <c r="H298" i="7"/>
  <c r="I298" i="7" s="1"/>
  <c r="D298" i="7"/>
  <c r="G298" i="7" s="1"/>
  <c r="J298" i="7" s="1"/>
  <c r="K298" i="7" s="1"/>
  <c r="C298" i="7"/>
  <c r="H297" i="7"/>
  <c r="I297" i="7" s="1"/>
  <c r="D297" i="7"/>
  <c r="G297" i="7" s="1"/>
  <c r="J297" i="7" s="1"/>
  <c r="K297" i="7" s="1"/>
  <c r="C297" i="7"/>
  <c r="H296" i="7"/>
  <c r="I296" i="7" s="1"/>
  <c r="D296" i="7"/>
  <c r="G296" i="7" s="1"/>
  <c r="J296" i="7" s="1"/>
  <c r="K296" i="7" s="1"/>
  <c r="C296" i="7"/>
  <c r="H295" i="7"/>
  <c r="I295" i="7" s="1"/>
  <c r="D295" i="7"/>
  <c r="G295" i="7" s="1"/>
  <c r="J295" i="7" s="1"/>
  <c r="K295" i="7" s="1"/>
  <c r="C295" i="7"/>
  <c r="H294" i="7"/>
  <c r="I294" i="7" s="1"/>
  <c r="D294" i="7"/>
  <c r="G294" i="7" s="1"/>
  <c r="J294" i="7" s="1"/>
  <c r="K294" i="7" s="1"/>
  <c r="C294" i="7"/>
  <c r="H293" i="7"/>
  <c r="I293" i="7" s="1"/>
  <c r="D293" i="7"/>
  <c r="G293" i="7" s="1"/>
  <c r="J293" i="7" s="1"/>
  <c r="K293" i="7" s="1"/>
  <c r="C293" i="7"/>
  <c r="H292" i="7"/>
  <c r="I292" i="7" s="1"/>
  <c r="D292" i="7"/>
  <c r="G292" i="7" s="1"/>
  <c r="J292" i="7" s="1"/>
  <c r="K292" i="7" s="1"/>
  <c r="C292" i="7"/>
  <c r="H291" i="7"/>
  <c r="I291" i="7" s="1"/>
  <c r="D291" i="7"/>
  <c r="G291" i="7" s="1"/>
  <c r="J291" i="7" s="1"/>
  <c r="K291" i="7" s="1"/>
  <c r="C291" i="7"/>
  <c r="H290" i="7"/>
  <c r="I290" i="7" s="1"/>
  <c r="D290" i="7"/>
  <c r="G290" i="7" s="1"/>
  <c r="J290" i="7" s="1"/>
  <c r="K290" i="7" s="1"/>
  <c r="C290" i="7"/>
  <c r="H289" i="7"/>
  <c r="I289" i="7" s="1"/>
  <c r="D289" i="7"/>
  <c r="G289" i="7" s="1"/>
  <c r="J289" i="7" s="1"/>
  <c r="K289" i="7" s="1"/>
  <c r="C289" i="7"/>
  <c r="H288" i="7"/>
  <c r="I288" i="7" s="1"/>
  <c r="D288" i="7"/>
  <c r="G288" i="7" s="1"/>
  <c r="J288" i="7" s="1"/>
  <c r="K288" i="7" s="1"/>
  <c r="C288" i="7"/>
  <c r="H287" i="7"/>
  <c r="I287" i="7" s="1"/>
  <c r="D287" i="7"/>
  <c r="G287" i="7" s="1"/>
  <c r="J287" i="7" s="1"/>
  <c r="K287" i="7" s="1"/>
  <c r="C287" i="7"/>
  <c r="H286" i="7"/>
  <c r="I286" i="7" s="1"/>
  <c r="D286" i="7"/>
  <c r="G286" i="7" s="1"/>
  <c r="J286" i="7" s="1"/>
  <c r="K286" i="7" s="1"/>
  <c r="C286" i="7"/>
  <c r="H285" i="7"/>
  <c r="I285" i="7" s="1"/>
  <c r="D285" i="7"/>
  <c r="G285" i="7" s="1"/>
  <c r="J285" i="7" s="1"/>
  <c r="K285" i="7" s="1"/>
  <c r="C285" i="7"/>
  <c r="H284" i="7"/>
  <c r="I284" i="7" s="1"/>
  <c r="D284" i="7"/>
  <c r="G284" i="7" s="1"/>
  <c r="J284" i="7" s="1"/>
  <c r="K284" i="7" s="1"/>
  <c r="C284" i="7"/>
  <c r="H283" i="7"/>
  <c r="I283" i="7" s="1"/>
  <c r="D283" i="7"/>
  <c r="G283" i="7" s="1"/>
  <c r="J283" i="7" s="1"/>
  <c r="K283" i="7" s="1"/>
  <c r="C283" i="7"/>
  <c r="H282" i="7"/>
  <c r="I282" i="7" s="1"/>
  <c r="D282" i="7"/>
  <c r="G282" i="7" s="1"/>
  <c r="J282" i="7" s="1"/>
  <c r="K282" i="7" s="1"/>
  <c r="C282" i="7"/>
  <c r="H281" i="7"/>
  <c r="I281" i="7" s="1"/>
  <c r="D281" i="7"/>
  <c r="G281" i="7" s="1"/>
  <c r="J281" i="7" s="1"/>
  <c r="K281" i="7" s="1"/>
  <c r="C281" i="7"/>
  <c r="H280" i="7"/>
  <c r="I280" i="7" s="1"/>
  <c r="D280" i="7"/>
  <c r="G280" i="7" s="1"/>
  <c r="J280" i="7" s="1"/>
  <c r="K280" i="7" s="1"/>
  <c r="C280" i="7"/>
  <c r="H279" i="7"/>
  <c r="I279" i="7" s="1"/>
  <c r="D279" i="7"/>
  <c r="G279" i="7" s="1"/>
  <c r="J279" i="7" s="1"/>
  <c r="K279" i="7" s="1"/>
  <c r="C279" i="7"/>
  <c r="H278" i="7"/>
  <c r="I278" i="7" s="1"/>
  <c r="D278" i="7"/>
  <c r="G278" i="7" s="1"/>
  <c r="J278" i="7" s="1"/>
  <c r="K278" i="7" s="1"/>
  <c r="C278" i="7"/>
  <c r="H277" i="7"/>
  <c r="I277" i="7" s="1"/>
  <c r="D277" i="7"/>
  <c r="G277" i="7" s="1"/>
  <c r="J277" i="7" s="1"/>
  <c r="K277" i="7" s="1"/>
  <c r="C277" i="7"/>
  <c r="H276" i="7"/>
  <c r="I276" i="7" s="1"/>
  <c r="D276" i="7"/>
  <c r="G276" i="7" s="1"/>
  <c r="J276" i="7" s="1"/>
  <c r="K276" i="7" s="1"/>
  <c r="C276" i="7"/>
  <c r="H275" i="7"/>
  <c r="I275" i="7" s="1"/>
  <c r="D275" i="7"/>
  <c r="G275" i="7" s="1"/>
  <c r="J275" i="7" s="1"/>
  <c r="K275" i="7" s="1"/>
  <c r="C275" i="7"/>
  <c r="H274" i="7"/>
  <c r="I274" i="7" s="1"/>
  <c r="D274" i="7"/>
  <c r="G274" i="7" s="1"/>
  <c r="J274" i="7" s="1"/>
  <c r="K274" i="7" s="1"/>
  <c r="C274" i="7"/>
  <c r="H273" i="7"/>
  <c r="I273" i="7" s="1"/>
  <c r="D273" i="7"/>
  <c r="G273" i="7" s="1"/>
  <c r="J273" i="7" s="1"/>
  <c r="K273" i="7" s="1"/>
  <c r="C273" i="7"/>
  <c r="H272" i="7"/>
  <c r="I272" i="7" s="1"/>
  <c r="D272" i="7"/>
  <c r="G272" i="7" s="1"/>
  <c r="J272" i="7" s="1"/>
  <c r="K272" i="7" s="1"/>
  <c r="C272" i="7"/>
  <c r="H271" i="7"/>
  <c r="I271" i="7" s="1"/>
  <c r="D271" i="7"/>
  <c r="G271" i="7" s="1"/>
  <c r="J271" i="7" s="1"/>
  <c r="K271" i="7" s="1"/>
  <c r="C271" i="7"/>
  <c r="H270" i="7"/>
  <c r="I270" i="7" s="1"/>
  <c r="D270" i="7"/>
  <c r="G270" i="7" s="1"/>
  <c r="J270" i="7" s="1"/>
  <c r="K270" i="7" s="1"/>
  <c r="C270" i="7"/>
  <c r="H269" i="7"/>
  <c r="I269" i="7" s="1"/>
  <c r="D269" i="7"/>
  <c r="G269" i="7" s="1"/>
  <c r="J269" i="7" s="1"/>
  <c r="K269" i="7" s="1"/>
  <c r="C269" i="7"/>
  <c r="H268" i="7"/>
  <c r="I268" i="7" s="1"/>
  <c r="D268" i="7"/>
  <c r="G268" i="7" s="1"/>
  <c r="J268" i="7" s="1"/>
  <c r="K268" i="7" s="1"/>
  <c r="C268" i="7"/>
  <c r="H267" i="7"/>
  <c r="I267" i="7" s="1"/>
  <c r="D267" i="7"/>
  <c r="G267" i="7" s="1"/>
  <c r="J267" i="7" s="1"/>
  <c r="K267" i="7" s="1"/>
  <c r="C267" i="7"/>
  <c r="H266" i="7"/>
  <c r="I266" i="7" s="1"/>
  <c r="D266" i="7"/>
  <c r="G266" i="7" s="1"/>
  <c r="J266" i="7" s="1"/>
  <c r="K266" i="7" s="1"/>
  <c r="C266" i="7"/>
  <c r="H265" i="7"/>
  <c r="I265" i="7" s="1"/>
  <c r="D265" i="7"/>
  <c r="G265" i="7" s="1"/>
  <c r="J265" i="7" s="1"/>
  <c r="K265" i="7" s="1"/>
  <c r="C265" i="7"/>
  <c r="H264" i="7"/>
  <c r="I264" i="7" s="1"/>
  <c r="D264" i="7"/>
  <c r="G264" i="7" s="1"/>
  <c r="J264" i="7" s="1"/>
  <c r="K264" i="7" s="1"/>
  <c r="C264" i="7"/>
  <c r="H263" i="7"/>
  <c r="I263" i="7" s="1"/>
  <c r="D263" i="7"/>
  <c r="G263" i="7" s="1"/>
  <c r="J263" i="7" s="1"/>
  <c r="K263" i="7" s="1"/>
  <c r="C263" i="7"/>
  <c r="H262" i="7"/>
  <c r="I262" i="7" s="1"/>
  <c r="D262" i="7"/>
  <c r="G262" i="7" s="1"/>
  <c r="J262" i="7" s="1"/>
  <c r="K262" i="7" s="1"/>
  <c r="C262" i="7"/>
  <c r="H261" i="7"/>
  <c r="I261" i="7" s="1"/>
  <c r="D261" i="7"/>
  <c r="G261" i="7" s="1"/>
  <c r="J261" i="7" s="1"/>
  <c r="K261" i="7" s="1"/>
  <c r="C261" i="7"/>
  <c r="H260" i="7"/>
  <c r="I260" i="7" s="1"/>
  <c r="D260" i="7"/>
  <c r="G260" i="7" s="1"/>
  <c r="J260" i="7" s="1"/>
  <c r="K260" i="7" s="1"/>
  <c r="C260" i="7"/>
  <c r="H259" i="7"/>
  <c r="I259" i="7" s="1"/>
  <c r="D259" i="7"/>
  <c r="G259" i="7" s="1"/>
  <c r="J259" i="7" s="1"/>
  <c r="K259" i="7" s="1"/>
  <c r="C259" i="7"/>
  <c r="H258" i="7"/>
  <c r="I258" i="7" s="1"/>
  <c r="D258" i="7"/>
  <c r="G258" i="7" s="1"/>
  <c r="J258" i="7" s="1"/>
  <c r="K258" i="7" s="1"/>
  <c r="C258" i="7"/>
  <c r="H257" i="7"/>
  <c r="I257" i="7" s="1"/>
  <c r="D257" i="7"/>
  <c r="G257" i="7" s="1"/>
  <c r="J257" i="7" s="1"/>
  <c r="K257" i="7" s="1"/>
  <c r="C257" i="7"/>
  <c r="H256" i="7"/>
  <c r="I256" i="7" s="1"/>
  <c r="D256" i="7"/>
  <c r="G256" i="7" s="1"/>
  <c r="J256" i="7" s="1"/>
  <c r="K256" i="7" s="1"/>
  <c r="C256" i="7"/>
  <c r="H255" i="7"/>
  <c r="I255" i="7" s="1"/>
  <c r="D255" i="7"/>
  <c r="G255" i="7" s="1"/>
  <c r="J255" i="7" s="1"/>
  <c r="K255" i="7" s="1"/>
  <c r="C255" i="7"/>
  <c r="H254" i="7"/>
  <c r="I254" i="7" s="1"/>
  <c r="D254" i="7"/>
  <c r="G254" i="7" s="1"/>
  <c r="J254" i="7" s="1"/>
  <c r="K254" i="7" s="1"/>
  <c r="C254" i="7"/>
  <c r="H253" i="7"/>
  <c r="I253" i="7" s="1"/>
  <c r="D253" i="7"/>
  <c r="G253" i="7" s="1"/>
  <c r="J253" i="7" s="1"/>
  <c r="K253" i="7" s="1"/>
  <c r="C253" i="7"/>
  <c r="H252" i="7"/>
  <c r="I252" i="7" s="1"/>
  <c r="D252" i="7"/>
  <c r="G252" i="7" s="1"/>
  <c r="J252" i="7" s="1"/>
  <c r="K252" i="7" s="1"/>
  <c r="C252" i="7"/>
  <c r="H251" i="7"/>
  <c r="I251" i="7" s="1"/>
  <c r="D251" i="7"/>
  <c r="G251" i="7" s="1"/>
  <c r="J251" i="7" s="1"/>
  <c r="K251" i="7" s="1"/>
  <c r="C251" i="7"/>
  <c r="H250" i="7"/>
  <c r="I250" i="7" s="1"/>
  <c r="D250" i="7"/>
  <c r="G250" i="7" s="1"/>
  <c r="J250" i="7" s="1"/>
  <c r="K250" i="7" s="1"/>
  <c r="C250" i="7"/>
  <c r="H249" i="7"/>
  <c r="I249" i="7" s="1"/>
  <c r="D249" i="7"/>
  <c r="G249" i="7" s="1"/>
  <c r="J249" i="7" s="1"/>
  <c r="K249" i="7" s="1"/>
  <c r="C249" i="7"/>
  <c r="H248" i="7"/>
  <c r="I248" i="7" s="1"/>
  <c r="D248" i="7"/>
  <c r="G248" i="7" s="1"/>
  <c r="J248" i="7" s="1"/>
  <c r="K248" i="7" s="1"/>
  <c r="C248" i="7"/>
  <c r="H247" i="7"/>
  <c r="I247" i="7" s="1"/>
  <c r="D247" i="7"/>
  <c r="G247" i="7" s="1"/>
  <c r="J247" i="7" s="1"/>
  <c r="K247" i="7" s="1"/>
  <c r="C247" i="7"/>
  <c r="H246" i="7"/>
  <c r="I246" i="7" s="1"/>
  <c r="D246" i="7"/>
  <c r="G246" i="7" s="1"/>
  <c r="J246" i="7" s="1"/>
  <c r="K246" i="7" s="1"/>
  <c r="C246" i="7"/>
  <c r="H245" i="7"/>
  <c r="I245" i="7" s="1"/>
  <c r="D245" i="7"/>
  <c r="G245" i="7" s="1"/>
  <c r="J245" i="7" s="1"/>
  <c r="K245" i="7" s="1"/>
  <c r="C245" i="7"/>
  <c r="H244" i="7"/>
  <c r="I244" i="7" s="1"/>
  <c r="D244" i="7"/>
  <c r="G244" i="7" s="1"/>
  <c r="J244" i="7" s="1"/>
  <c r="K244" i="7" s="1"/>
  <c r="C244" i="7"/>
  <c r="H243" i="7"/>
  <c r="I243" i="7" s="1"/>
  <c r="D243" i="7"/>
  <c r="G243" i="7" s="1"/>
  <c r="J243" i="7" s="1"/>
  <c r="K243" i="7" s="1"/>
  <c r="C243" i="7"/>
  <c r="H242" i="7"/>
  <c r="I242" i="7" s="1"/>
  <c r="D242" i="7"/>
  <c r="G242" i="7" s="1"/>
  <c r="J242" i="7" s="1"/>
  <c r="K242" i="7" s="1"/>
  <c r="C242" i="7"/>
  <c r="H241" i="7"/>
  <c r="I241" i="7" s="1"/>
  <c r="D241" i="7"/>
  <c r="G241" i="7" s="1"/>
  <c r="J241" i="7" s="1"/>
  <c r="K241" i="7" s="1"/>
  <c r="C241" i="7"/>
  <c r="H240" i="7"/>
  <c r="I240" i="7" s="1"/>
  <c r="D240" i="7"/>
  <c r="G240" i="7" s="1"/>
  <c r="J240" i="7" s="1"/>
  <c r="K240" i="7" s="1"/>
  <c r="C240" i="7"/>
  <c r="H239" i="7"/>
  <c r="I239" i="7" s="1"/>
  <c r="D239" i="7"/>
  <c r="G239" i="7" s="1"/>
  <c r="J239" i="7" s="1"/>
  <c r="K239" i="7" s="1"/>
  <c r="C239" i="7"/>
  <c r="H238" i="7"/>
  <c r="I238" i="7" s="1"/>
  <c r="D238" i="7"/>
  <c r="G238" i="7" s="1"/>
  <c r="J238" i="7" s="1"/>
  <c r="K238" i="7" s="1"/>
  <c r="C238" i="7"/>
  <c r="H237" i="7"/>
  <c r="I237" i="7" s="1"/>
  <c r="D237" i="7"/>
  <c r="G237" i="7" s="1"/>
  <c r="J237" i="7" s="1"/>
  <c r="K237" i="7" s="1"/>
  <c r="C237" i="7"/>
  <c r="H236" i="7"/>
  <c r="I236" i="7" s="1"/>
  <c r="D236" i="7"/>
  <c r="G236" i="7" s="1"/>
  <c r="J236" i="7" s="1"/>
  <c r="K236" i="7" s="1"/>
  <c r="C236" i="7"/>
  <c r="H235" i="7"/>
  <c r="I235" i="7" s="1"/>
  <c r="D235" i="7"/>
  <c r="G235" i="7" s="1"/>
  <c r="J235" i="7" s="1"/>
  <c r="K235" i="7" s="1"/>
  <c r="C235" i="7"/>
  <c r="H234" i="7"/>
  <c r="I234" i="7" s="1"/>
  <c r="D234" i="7"/>
  <c r="G234" i="7" s="1"/>
  <c r="J234" i="7" s="1"/>
  <c r="K234" i="7" s="1"/>
  <c r="C234" i="7"/>
  <c r="H233" i="7"/>
  <c r="I233" i="7" s="1"/>
  <c r="D233" i="7"/>
  <c r="G233" i="7" s="1"/>
  <c r="J233" i="7" s="1"/>
  <c r="K233" i="7" s="1"/>
  <c r="C233" i="7"/>
  <c r="I232" i="7"/>
  <c r="H232" i="7"/>
  <c r="D232" i="7"/>
  <c r="G232" i="7" s="1"/>
  <c r="J232" i="7" s="1"/>
  <c r="K232" i="7" s="1"/>
  <c r="C232" i="7"/>
  <c r="H231" i="7"/>
  <c r="I231" i="7" s="1"/>
  <c r="D231" i="7"/>
  <c r="G231" i="7" s="1"/>
  <c r="J231" i="7" s="1"/>
  <c r="K231" i="7" s="1"/>
  <c r="C231" i="7"/>
  <c r="H230" i="7"/>
  <c r="I230" i="7" s="1"/>
  <c r="D230" i="7"/>
  <c r="G230" i="7" s="1"/>
  <c r="J230" i="7" s="1"/>
  <c r="K230" i="7" s="1"/>
  <c r="C230" i="7"/>
  <c r="H229" i="7"/>
  <c r="I229" i="7" s="1"/>
  <c r="D229" i="7"/>
  <c r="G229" i="7" s="1"/>
  <c r="J229" i="7" s="1"/>
  <c r="K229" i="7" s="1"/>
  <c r="C229" i="7"/>
  <c r="H228" i="7"/>
  <c r="I228" i="7" s="1"/>
  <c r="D228" i="7"/>
  <c r="G228" i="7" s="1"/>
  <c r="J228" i="7" s="1"/>
  <c r="K228" i="7" s="1"/>
  <c r="C228" i="7"/>
  <c r="H227" i="7"/>
  <c r="I227" i="7" s="1"/>
  <c r="D227" i="7"/>
  <c r="G227" i="7" s="1"/>
  <c r="J227" i="7" s="1"/>
  <c r="K227" i="7" s="1"/>
  <c r="C227" i="7"/>
  <c r="H226" i="7"/>
  <c r="I226" i="7" s="1"/>
  <c r="D226" i="7"/>
  <c r="G226" i="7" s="1"/>
  <c r="J226" i="7" s="1"/>
  <c r="K226" i="7" s="1"/>
  <c r="C226" i="7"/>
  <c r="H225" i="7"/>
  <c r="I225" i="7" s="1"/>
  <c r="D225" i="7"/>
  <c r="G225" i="7" s="1"/>
  <c r="J225" i="7" s="1"/>
  <c r="K225" i="7" s="1"/>
  <c r="C225" i="7"/>
  <c r="H224" i="7"/>
  <c r="I224" i="7" s="1"/>
  <c r="D224" i="7"/>
  <c r="G224" i="7" s="1"/>
  <c r="J224" i="7" s="1"/>
  <c r="K224" i="7" s="1"/>
  <c r="C224" i="7"/>
  <c r="H223" i="7"/>
  <c r="I223" i="7" s="1"/>
  <c r="D223" i="7"/>
  <c r="G223" i="7" s="1"/>
  <c r="J223" i="7" s="1"/>
  <c r="K223" i="7" s="1"/>
  <c r="C223" i="7"/>
  <c r="H222" i="7"/>
  <c r="I222" i="7" s="1"/>
  <c r="D222" i="7"/>
  <c r="G222" i="7" s="1"/>
  <c r="J222" i="7" s="1"/>
  <c r="K222" i="7" s="1"/>
  <c r="C222" i="7"/>
  <c r="H221" i="7"/>
  <c r="I221" i="7" s="1"/>
  <c r="D221" i="7"/>
  <c r="G221" i="7" s="1"/>
  <c r="J221" i="7" s="1"/>
  <c r="K221" i="7" s="1"/>
  <c r="C221" i="7"/>
  <c r="H220" i="7"/>
  <c r="I220" i="7" s="1"/>
  <c r="D220" i="7"/>
  <c r="G220" i="7" s="1"/>
  <c r="J220" i="7" s="1"/>
  <c r="K220" i="7" s="1"/>
  <c r="C220" i="7"/>
  <c r="H219" i="7"/>
  <c r="I219" i="7" s="1"/>
  <c r="D219" i="7"/>
  <c r="G219" i="7" s="1"/>
  <c r="J219" i="7" s="1"/>
  <c r="K219" i="7" s="1"/>
  <c r="C219" i="7"/>
  <c r="H218" i="7"/>
  <c r="I218" i="7" s="1"/>
  <c r="D218" i="7"/>
  <c r="G218" i="7" s="1"/>
  <c r="J218" i="7" s="1"/>
  <c r="K218" i="7" s="1"/>
  <c r="C218" i="7"/>
  <c r="H217" i="7"/>
  <c r="I217" i="7" s="1"/>
  <c r="D217" i="7"/>
  <c r="G217" i="7" s="1"/>
  <c r="J217" i="7" s="1"/>
  <c r="K217" i="7" s="1"/>
  <c r="C217" i="7"/>
  <c r="H216" i="7"/>
  <c r="I216" i="7" s="1"/>
  <c r="D216" i="7"/>
  <c r="G216" i="7" s="1"/>
  <c r="J216" i="7" s="1"/>
  <c r="K216" i="7" s="1"/>
  <c r="C216" i="7"/>
  <c r="H215" i="7"/>
  <c r="I215" i="7" s="1"/>
  <c r="D215" i="7"/>
  <c r="G215" i="7" s="1"/>
  <c r="C215" i="7"/>
  <c r="H214" i="7"/>
  <c r="I214" i="7" s="1"/>
  <c r="D214" i="7"/>
  <c r="G214" i="7" s="1"/>
  <c r="J214" i="7" s="1"/>
  <c r="K214" i="7" s="1"/>
  <c r="C214" i="7"/>
  <c r="H213" i="7"/>
  <c r="I213" i="7" s="1"/>
  <c r="D213" i="7"/>
  <c r="G213" i="7" s="1"/>
  <c r="J213" i="7" s="1"/>
  <c r="K213" i="7" s="1"/>
  <c r="C213" i="7"/>
  <c r="H212" i="7"/>
  <c r="I212" i="7" s="1"/>
  <c r="D212" i="7"/>
  <c r="G212" i="7" s="1"/>
  <c r="C212" i="7"/>
  <c r="H211" i="7"/>
  <c r="I211" i="7" s="1"/>
  <c r="D211" i="7"/>
  <c r="G211" i="7" s="1"/>
  <c r="C211" i="7"/>
  <c r="H210" i="7"/>
  <c r="I210" i="7" s="1"/>
  <c r="D210" i="7"/>
  <c r="G210" i="7" s="1"/>
  <c r="J210" i="7" s="1"/>
  <c r="K210" i="7" s="1"/>
  <c r="C210" i="7"/>
  <c r="H209" i="7"/>
  <c r="I209" i="7" s="1"/>
  <c r="D209" i="7"/>
  <c r="G209" i="7" s="1"/>
  <c r="C209" i="7"/>
  <c r="H208" i="7"/>
  <c r="I208" i="7" s="1"/>
  <c r="D208" i="7"/>
  <c r="G208" i="7" s="1"/>
  <c r="J208" i="7" s="1"/>
  <c r="K208" i="7" s="1"/>
  <c r="C208" i="7"/>
  <c r="H207" i="7"/>
  <c r="I207" i="7" s="1"/>
  <c r="D207" i="7"/>
  <c r="G207" i="7" s="1"/>
  <c r="C207" i="7"/>
  <c r="H206" i="7"/>
  <c r="I206" i="7" s="1"/>
  <c r="D206" i="7"/>
  <c r="G206" i="7" s="1"/>
  <c r="C206" i="7"/>
  <c r="H205" i="7"/>
  <c r="I205" i="7" s="1"/>
  <c r="D205" i="7"/>
  <c r="G205" i="7" s="1"/>
  <c r="C205" i="7"/>
  <c r="H204" i="7"/>
  <c r="I204" i="7" s="1"/>
  <c r="D204" i="7"/>
  <c r="G204" i="7" s="1"/>
  <c r="C204" i="7"/>
  <c r="H203" i="7"/>
  <c r="I203" i="7" s="1"/>
  <c r="D203" i="7"/>
  <c r="G203" i="7" s="1"/>
  <c r="C203" i="7"/>
  <c r="H202" i="7"/>
  <c r="I202" i="7" s="1"/>
  <c r="D202" i="7"/>
  <c r="G202" i="7" s="1"/>
  <c r="C202" i="7"/>
  <c r="H201" i="7"/>
  <c r="I201" i="7" s="1"/>
  <c r="D201" i="7"/>
  <c r="G201" i="7" s="1"/>
  <c r="C201" i="7"/>
  <c r="H200" i="7"/>
  <c r="I200" i="7" s="1"/>
  <c r="D200" i="7"/>
  <c r="G200" i="7" s="1"/>
  <c r="J200" i="7" s="1"/>
  <c r="K200" i="7" s="1"/>
  <c r="C200" i="7"/>
  <c r="H199" i="7"/>
  <c r="I199" i="7" s="1"/>
  <c r="D199" i="7"/>
  <c r="G199" i="7" s="1"/>
  <c r="C199" i="7"/>
  <c r="H198" i="7"/>
  <c r="I198" i="7" s="1"/>
  <c r="D198" i="7"/>
  <c r="G198" i="7" s="1"/>
  <c r="J198" i="7" s="1"/>
  <c r="K198" i="7" s="1"/>
  <c r="C198" i="7"/>
  <c r="H197" i="7"/>
  <c r="I197" i="7" s="1"/>
  <c r="D197" i="7"/>
  <c r="G197" i="7" s="1"/>
  <c r="J197" i="7" s="1"/>
  <c r="K197" i="7" s="1"/>
  <c r="C197" i="7"/>
  <c r="H196" i="7"/>
  <c r="I196" i="7" s="1"/>
  <c r="D196" i="7"/>
  <c r="G196" i="7" s="1"/>
  <c r="C196" i="7"/>
  <c r="H195" i="7"/>
  <c r="I195" i="7" s="1"/>
  <c r="D195" i="7"/>
  <c r="G195" i="7" s="1"/>
  <c r="J195" i="7" s="1"/>
  <c r="K195" i="7" s="1"/>
  <c r="C195" i="7"/>
  <c r="H194" i="7"/>
  <c r="I194" i="7" s="1"/>
  <c r="D194" i="7"/>
  <c r="G194" i="7" s="1"/>
  <c r="C194" i="7"/>
  <c r="H193" i="7"/>
  <c r="I193" i="7" s="1"/>
  <c r="D193" i="7"/>
  <c r="G193" i="7" s="1"/>
  <c r="C193" i="7"/>
  <c r="H192" i="7"/>
  <c r="I192" i="7" s="1"/>
  <c r="D192" i="7"/>
  <c r="G192" i="7" s="1"/>
  <c r="C192" i="7"/>
  <c r="H191" i="7"/>
  <c r="I191" i="7" s="1"/>
  <c r="D191" i="7"/>
  <c r="G191" i="7" s="1"/>
  <c r="C191" i="7"/>
  <c r="H190" i="7"/>
  <c r="I190" i="7" s="1"/>
  <c r="D190" i="7"/>
  <c r="G190" i="7" s="1"/>
  <c r="C190" i="7"/>
  <c r="H189" i="7"/>
  <c r="I189" i="7" s="1"/>
  <c r="D189" i="7"/>
  <c r="G189" i="7" s="1"/>
  <c r="C189" i="7"/>
  <c r="H188" i="7"/>
  <c r="I188" i="7" s="1"/>
  <c r="D188" i="7"/>
  <c r="G188" i="7" s="1"/>
  <c r="C188" i="7"/>
  <c r="H187" i="7"/>
  <c r="I187" i="7" s="1"/>
  <c r="D187" i="7"/>
  <c r="G187" i="7" s="1"/>
  <c r="C187" i="7"/>
  <c r="H186" i="7"/>
  <c r="I186" i="7" s="1"/>
  <c r="D186" i="7"/>
  <c r="G186" i="7" s="1"/>
  <c r="J186" i="7" s="1"/>
  <c r="K186" i="7" s="1"/>
  <c r="C186" i="7"/>
  <c r="H185" i="7"/>
  <c r="I185" i="7" s="1"/>
  <c r="D185" i="7"/>
  <c r="G185" i="7" s="1"/>
  <c r="J185" i="7" s="1"/>
  <c r="K185" i="7" s="1"/>
  <c r="C185" i="7"/>
  <c r="H184" i="7"/>
  <c r="I184" i="7" s="1"/>
  <c r="D184" i="7"/>
  <c r="G184" i="7" s="1"/>
  <c r="C184" i="7"/>
  <c r="H183" i="7"/>
  <c r="I183" i="7" s="1"/>
  <c r="D183" i="7"/>
  <c r="G183" i="7" s="1"/>
  <c r="J183" i="7" s="1"/>
  <c r="K183" i="7" s="1"/>
  <c r="C183" i="7"/>
  <c r="H182" i="7"/>
  <c r="I182" i="7" s="1"/>
  <c r="D182" i="7"/>
  <c r="G182" i="7" s="1"/>
  <c r="J182" i="7" s="1"/>
  <c r="K182" i="7" s="1"/>
  <c r="C182" i="7"/>
  <c r="H181" i="7"/>
  <c r="I181" i="7" s="1"/>
  <c r="D181" i="7"/>
  <c r="G181" i="7" s="1"/>
  <c r="J181" i="7" s="1"/>
  <c r="K181" i="7" s="1"/>
  <c r="C181" i="7"/>
  <c r="H180" i="7"/>
  <c r="I180" i="7" s="1"/>
  <c r="D180" i="7"/>
  <c r="G180" i="7" s="1"/>
  <c r="C180" i="7"/>
  <c r="H179" i="7"/>
  <c r="I179" i="7" s="1"/>
  <c r="D179" i="7"/>
  <c r="G179" i="7" s="1"/>
  <c r="C179" i="7"/>
  <c r="H178" i="7"/>
  <c r="I178" i="7" s="1"/>
  <c r="D178" i="7"/>
  <c r="G178" i="7" s="1"/>
  <c r="C178" i="7"/>
  <c r="H177" i="7"/>
  <c r="I177" i="7" s="1"/>
  <c r="D177" i="7"/>
  <c r="G177" i="7" s="1"/>
  <c r="C177" i="7"/>
  <c r="H176" i="7"/>
  <c r="I176" i="7" s="1"/>
  <c r="D176" i="7"/>
  <c r="G176" i="7" s="1"/>
  <c r="C176" i="7"/>
  <c r="H175" i="7"/>
  <c r="I175" i="7" s="1"/>
  <c r="D175" i="7"/>
  <c r="G175" i="7" s="1"/>
  <c r="J175" i="7" s="1"/>
  <c r="K175" i="7" s="1"/>
  <c r="C175" i="7"/>
  <c r="H174" i="7"/>
  <c r="I174" i="7" s="1"/>
  <c r="D174" i="7"/>
  <c r="G174" i="7" s="1"/>
  <c r="C174" i="7"/>
  <c r="H173" i="7"/>
  <c r="I173" i="7" s="1"/>
  <c r="D173" i="7"/>
  <c r="G173" i="7" s="1"/>
  <c r="J173" i="7" s="1"/>
  <c r="K173" i="7" s="1"/>
  <c r="C173" i="7"/>
  <c r="H172" i="7"/>
  <c r="I172" i="7" s="1"/>
  <c r="D172" i="7"/>
  <c r="G172" i="7" s="1"/>
  <c r="J172" i="7" s="1"/>
  <c r="K172" i="7" s="1"/>
  <c r="C172" i="7"/>
  <c r="H171" i="7"/>
  <c r="I171" i="7" s="1"/>
  <c r="D171" i="7"/>
  <c r="G171" i="7" s="1"/>
  <c r="C171" i="7"/>
  <c r="H170" i="7"/>
  <c r="I170" i="7" s="1"/>
  <c r="D170" i="7"/>
  <c r="G170" i="7" s="1"/>
  <c r="C170" i="7"/>
  <c r="H169" i="7"/>
  <c r="I169" i="7" s="1"/>
  <c r="D169" i="7"/>
  <c r="G169" i="7" s="1"/>
  <c r="J169" i="7" s="1"/>
  <c r="K169" i="7" s="1"/>
  <c r="C169" i="7"/>
  <c r="H168" i="7"/>
  <c r="I168" i="7" s="1"/>
  <c r="D168" i="7"/>
  <c r="G168" i="7" s="1"/>
  <c r="C168" i="7"/>
  <c r="H167" i="7"/>
  <c r="I167" i="7" s="1"/>
  <c r="D167" i="7"/>
  <c r="G167" i="7" s="1"/>
  <c r="C167" i="7"/>
  <c r="H166" i="7"/>
  <c r="I166" i="7" s="1"/>
  <c r="D166" i="7"/>
  <c r="G166" i="7" s="1"/>
  <c r="J166" i="7" s="1"/>
  <c r="K166" i="7" s="1"/>
  <c r="C166" i="7"/>
  <c r="H165" i="7"/>
  <c r="I165" i="7" s="1"/>
  <c r="D165" i="7"/>
  <c r="G165" i="7" s="1"/>
  <c r="J165" i="7" s="1"/>
  <c r="K165" i="7" s="1"/>
  <c r="C165" i="7"/>
  <c r="H164" i="7"/>
  <c r="I164" i="7" s="1"/>
  <c r="D164" i="7"/>
  <c r="G164" i="7" s="1"/>
  <c r="C164" i="7"/>
  <c r="H163" i="7"/>
  <c r="I163" i="7" s="1"/>
  <c r="D163" i="7"/>
  <c r="G163" i="7" s="1"/>
  <c r="J163" i="7" s="1"/>
  <c r="K163" i="7" s="1"/>
  <c r="C163" i="7"/>
  <c r="H162" i="7"/>
  <c r="I162" i="7" s="1"/>
  <c r="D162" i="7"/>
  <c r="G162" i="7" s="1"/>
  <c r="C162" i="7"/>
  <c r="H161" i="7"/>
  <c r="I161" i="7" s="1"/>
  <c r="D161" i="7"/>
  <c r="G161" i="7" s="1"/>
  <c r="C161" i="7"/>
  <c r="H160" i="7"/>
  <c r="I160" i="7" s="1"/>
  <c r="D160" i="7"/>
  <c r="G160" i="7" s="1"/>
  <c r="J160" i="7" s="1"/>
  <c r="K160" i="7" s="1"/>
  <c r="C160" i="7"/>
  <c r="H159" i="7"/>
  <c r="I159" i="7" s="1"/>
  <c r="D159" i="7"/>
  <c r="G159" i="7" s="1"/>
  <c r="C159" i="7"/>
  <c r="H158" i="7"/>
  <c r="I158" i="7" s="1"/>
  <c r="D158" i="7"/>
  <c r="G158" i="7" s="1"/>
  <c r="J158" i="7" s="1"/>
  <c r="K158" i="7" s="1"/>
  <c r="C158" i="7"/>
  <c r="H157" i="7"/>
  <c r="I157" i="7" s="1"/>
  <c r="D157" i="7"/>
  <c r="G157" i="7" s="1"/>
  <c r="C157" i="7"/>
  <c r="H156" i="7"/>
  <c r="I156" i="7" s="1"/>
  <c r="D156" i="7"/>
  <c r="G156" i="7" s="1"/>
  <c r="J156" i="7" s="1"/>
  <c r="K156" i="7" s="1"/>
  <c r="C156" i="7"/>
  <c r="H155" i="7"/>
  <c r="I155" i="7" s="1"/>
  <c r="D155" i="7"/>
  <c r="G155" i="7" s="1"/>
  <c r="J155" i="7" s="1"/>
  <c r="K155" i="7" s="1"/>
  <c r="C155" i="7"/>
  <c r="H154" i="7"/>
  <c r="I154" i="7" s="1"/>
  <c r="D154" i="7"/>
  <c r="G154" i="7" s="1"/>
  <c r="C154" i="7"/>
  <c r="H153" i="7"/>
  <c r="I153" i="7" s="1"/>
  <c r="D153" i="7"/>
  <c r="G153" i="7" s="1"/>
  <c r="C153" i="7"/>
  <c r="H152" i="7"/>
  <c r="I152" i="7" s="1"/>
  <c r="D152" i="7"/>
  <c r="G152" i="7" s="1"/>
  <c r="C152" i="7"/>
  <c r="H151" i="7"/>
  <c r="I151" i="7" s="1"/>
  <c r="D151" i="7"/>
  <c r="G151" i="7" s="1"/>
  <c r="C151" i="7"/>
  <c r="H150" i="7"/>
  <c r="I150" i="7" s="1"/>
  <c r="D150" i="7"/>
  <c r="G150" i="7" s="1"/>
  <c r="J150" i="7" s="1"/>
  <c r="K150" i="7" s="1"/>
  <c r="C150" i="7"/>
  <c r="H149" i="7"/>
  <c r="I149" i="7" s="1"/>
  <c r="D149" i="7"/>
  <c r="G149" i="7" s="1"/>
  <c r="C149" i="7"/>
  <c r="H148" i="7"/>
  <c r="I148" i="7" s="1"/>
  <c r="D148" i="7"/>
  <c r="G148" i="7" s="1"/>
  <c r="C148" i="7"/>
  <c r="H147" i="7"/>
  <c r="I147" i="7" s="1"/>
  <c r="D147" i="7"/>
  <c r="G147" i="7" s="1"/>
  <c r="J147" i="7" s="1"/>
  <c r="K147" i="7" s="1"/>
  <c r="C147" i="7"/>
  <c r="H146" i="7"/>
  <c r="I146" i="7" s="1"/>
  <c r="D146" i="7"/>
  <c r="G146" i="7" s="1"/>
  <c r="C146" i="7"/>
  <c r="H145" i="7"/>
  <c r="I145" i="7" s="1"/>
  <c r="D145" i="7"/>
  <c r="G145" i="7" s="1"/>
  <c r="C145" i="7"/>
  <c r="H144" i="7"/>
  <c r="I144" i="7" s="1"/>
  <c r="K21" i="6" s="1"/>
  <c r="D144" i="7"/>
  <c r="G144" i="7" s="1"/>
  <c r="C144" i="7"/>
  <c r="H143" i="7"/>
  <c r="I143" i="7" s="1"/>
  <c r="D143" i="7"/>
  <c r="G143" i="7" s="1"/>
  <c r="J143" i="7" s="1"/>
  <c r="K143" i="7" s="1"/>
  <c r="C143" i="7"/>
  <c r="H142" i="7"/>
  <c r="I142" i="7" s="1"/>
  <c r="D142" i="7"/>
  <c r="G142" i="7" s="1"/>
  <c r="C142" i="7"/>
  <c r="H141" i="7"/>
  <c r="I141" i="7" s="1"/>
  <c r="D141" i="7"/>
  <c r="G141" i="7" s="1"/>
  <c r="J141" i="7" s="1"/>
  <c r="K141" i="7" s="1"/>
  <c r="C141" i="7"/>
  <c r="H140" i="7"/>
  <c r="I140" i="7" s="1"/>
  <c r="D140" i="7"/>
  <c r="G140" i="7" s="1"/>
  <c r="J140" i="7" s="1"/>
  <c r="K140" i="7" s="1"/>
  <c r="C140" i="7"/>
  <c r="H139" i="7"/>
  <c r="D139" i="7"/>
  <c r="G139" i="7" s="1"/>
  <c r="C139" i="7"/>
  <c r="H138" i="7"/>
  <c r="I138" i="7" s="1"/>
  <c r="D138" i="7"/>
  <c r="G138" i="7" s="1"/>
  <c r="J138" i="7" s="1"/>
  <c r="K138" i="7" s="1"/>
  <c r="C138" i="7"/>
  <c r="H137" i="7"/>
  <c r="I137" i="7" s="1"/>
  <c r="D137" i="7"/>
  <c r="G137" i="7" s="1"/>
  <c r="J137" i="7" s="1"/>
  <c r="K137" i="7" s="1"/>
  <c r="C137" i="7"/>
  <c r="H136" i="7"/>
  <c r="I136" i="7" s="1"/>
  <c r="D136" i="7"/>
  <c r="G136" i="7" s="1"/>
  <c r="C136" i="7"/>
  <c r="H135" i="7"/>
  <c r="I135" i="7" s="1"/>
  <c r="D135" i="7"/>
  <c r="G135" i="7" s="1"/>
  <c r="C135" i="7"/>
  <c r="H134" i="7"/>
  <c r="I134" i="7" s="1"/>
  <c r="D134" i="7"/>
  <c r="G134" i="7" s="1"/>
  <c r="C134" i="7"/>
  <c r="H133" i="7"/>
  <c r="I133" i="7" s="1"/>
  <c r="D133" i="7"/>
  <c r="G133" i="7" s="1"/>
  <c r="C133" i="7"/>
  <c r="H132" i="7"/>
  <c r="I132" i="7" s="1"/>
  <c r="D132" i="7"/>
  <c r="G132" i="7" s="1"/>
  <c r="C132" i="7"/>
  <c r="H131" i="7"/>
  <c r="I131" i="7" s="1"/>
  <c r="D131" i="7"/>
  <c r="G131" i="7" s="1"/>
  <c r="C131" i="7"/>
  <c r="H130" i="7"/>
  <c r="I130" i="7" s="1"/>
  <c r="D130" i="7"/>
  <c r="G130" i="7" s="1"/>
  <c r="J130" i="7" s="1"/>
  <c r="K130" i="7" s="1"/>
  <c r="C130" i="7"/>
  <c r="H129" i="7"/>
  <c r="I129" i="7" s="1"/>
  <c r="D129" i="7"/>
  <c r="G129" i="7" s="1"/>
  <c r="C129" i="7"/>
  <c r="H128" i="7"/>
  <c r="I128" i="7" s="1"/>
  <c r="D128" i="7"/>
  <c r="G128" i="7" s="1"/>
  <c r="C128" i="7"/>
  <c r="H127" i="7"/>
  <c r="I127" i="7" s="1"/>
  <c r="D127" i="7"/>
  <c r="G127" i="7" s="1"/>
  <c r="J127" i="7" s="1"/>
  <c r="K127" i="7" s="1"/>
  <c r="C127" i="7"/>
  <c r="H126" i="7"/>
  <c r="I126" i="7" s="1"/>
  <c r="D126" i="7"/>
  <c r="G126" i="7" s="1"/>
  <c r="J126" i="7" s="1"/>
  <c r="K126" i="7" s="1"/>
  <c r="C126" i="7"/>
  <c r="H125" i="7"/>
  <c r="I125" i="7" s="1"/>
  <c r="D125" i="7"/>
  <c r="G125" i="7" s="1"/>
  <c r="J125" i="7" s="1"/>
  <c r="K125" i="7" s="1"/>
  <c r="C125" i="7"/>
  <c r="H124" i="7"/>
  <c r="I124" i="7" s="1"/>
  <c r="D124" i="7"/>
  <c r="G124" i="7" s="1"/>
  <c r="C124" i="7"/>
  <c r="H123" i="7"/>
  <c r="I123" i="7" s="1"/>
  <c r="D123" i="7"/>
  <c r="G123" i="7" s="1"/>
  <c r="J123" i="7" s="1"/>
  <c r="K123" i="7" s="1"/>
  <c r="C123" i="7"/>
  <c r="H122" i="7"/>
  <c r="I122" i="7" s="1"/>
  <c r="D122" i="7"/>
  <c r="G122" i="7" s="1"/>
  <c r="C122" i="7"/>
  <c r="H121" i="7"/>
  <c r="I121" i="7" s="1"/>
  <c r="D121" i="7"/>
  <c r="G121" i="7" s="1"/>
  <c r="J121" i="7" s="1"/>
  <c r="K121" i="7" s="1"/>
  <c r="C121" i="7"/>
  <c r="H120" i="7"/>
  <c r="I120" i="7" s="1"/>
  <c r="D120" i="7"/>
  <c r="G120" i="7" s="1"/>
  <c r="J120" i="7" s="1"/>
  <c r="K120" i="7" s="1"/>
  <c r="C120" i="7"/>
  <c r="H119" i="7"/>
  <c r="I119" i="7" s="1"/>
  <c r="D119" i="7"/>
  <c r="G119" i="7" s="1"/>
  <c r="C119" i="7"/>
  <c r="H118" i="7"/>
  <c r="I118" i="7" s="1"/>
  <c r="D118" i="7"/>
  <c r="G118" i="7" s="1"/>
  <c r="C118" i="7"/>
  <c r="H117" i="7"/>
  <c r="I117" i="7" s="1"/>
  <c r="D117" i="7"/>
  <c r="G117" i="7" s="1"/>
  <c r="C117" i="7"/>
  <c r="H116" i="7"/>
  <c r="I116" i="7" s="1"/>
  <c r="D116" i="7"/>
  <c r="G116" i="7" s="1"/>
  <c r="C116" i="7"/>
  <c r="H115" i="7"/>
  <c r="I115" i="7" s="1"/>
  <c r="D115" i="7"/>
  <c r="G115" i="7" s="1"/>
  <c r="C115" i="7"/>
  <c r="H114" i="7"/>
  <c r="D114" i="7"/>
  <c r="G114" i="7" s="1"/>
  <c r="J114" i="7" s="1"/>
  <c r="K114" i="7" s="1"/>
  <c r="C114" i="7"/>
  <c r="H113" i="7"/>
  <c r="I113" i="7" s="1"/>
  <c r="D113" i="7"/>
  <c r="G113" i="7" s="1"/>
  <c r="C113" i="7"/>
  <c r="H112" i="7"/>
  <c r="I112" i="7" s="1"/>
  <c r="D112" i="7"/>
  <c r="G112" i="7" s="1"/>
  <c r="C112" i="7"/>
  <c r="H111" i="7"/>
  <c r="I111" i="7" s="1"/>
  <c r="D111" i="7"/>
  <c r="G111" i="7" s="1"/>
  <c r="J111" i="7" s="1"/>
  <c r="K111" i="7" s="1"/>
  <c r="C111" i="7"/>
  <c r="H110" i="7"/>
  <c r="I110" i="7" s="1"/>
  <c r="D110" i="7"/>
  <c r="G110" i="7" s="1"/>
  <c r="C110" i="7"/>
  <c r="H109" i="7"/>
  <c r="I109" i="7" s="1"/>
  <c r="D109" i="7"/>
  <c r="G109" i="7" s="1"/>
  <c r="C109" i="7"/>
  <c r="H108" i="7"/>
  <c r="I108" i="7" s="1"/>
  <c r="K9" i="6" s="1"/>
  <c r="D108" i="7"/>
  <c r="G108" i="7" s="1"/>
  <c r="C108" i="7"/>
  <c r="H107" i="7"/>
  <c r="I107" i="7" s="1"/>
  <c r="D107" i="7"/>
  <c r="G107" i="7" s="1"/>
  <c r="C107" i="7"/>
  <c r="H106" i="7"/>
  <c r="I106" i="7" s="1"/>
  <c r="D106" i="7"/>
  <c r="G106" i="7" s="1"/>
  <c r="C106" i="7"/>
  <c r="H105" i="7"/>
  <c r="I105" i="7" s="1"/>
  <c r="D105" i="7"/>
  <c r="G105" i="7" s="1"/>
  <c r="C105" i="7"/>
  <c r="H104" i="7"/>
  <c r="I104" i="7" s="1"/>
  <c r="D104" i="7"/>
  <c r="G104" i="7" s="1"/>
  <c r="C104" i="7"/>
  <c r="H103" i="7"/>
  <c r="I103" i="7" s="1"/>
  <c r="D103" i="7"/>
  <c r="G103" i="7" s="1"/>
  <c r="C103" i="7"/>
  <c r="H102" i="7"/>
  <c r="I102" i="7" s="1"/>
  <c r="D102" i="7"/>
  <c r="G102" i="7" s="1"/>
  <c r="J102" i="7" s="1"/>
  <c r="K102" i="7" s="1"/>
  <c r="C102" i="7"/>
  <c r="H101" i="7"/>
  <c r="I101" i="7" s="1"/>
  <c r="D101" i="7"/>
  <c r="G101" i="7" s="1"/>
  <c r="J101" i="7" s="1"/>
  <c r="K101" i="7" s="1"/>
  <c r="C101" i="7"/>
  <c r="H100" i="7"/>
  <c r="I100" i="7" s="1"/>
  <c r="D100" i="7"/>
  <c r="G100" i="7" s="1"/>
  <c r="J100" i="7" s="1"/>
  <c r="K100" i="7" s="1"/>
  <c r="C100" i="7"/>
  <c r="H99" i="7"/>
  <c r="I99" i="7" s="1"/>
  <c r="D99" i="7"/>
  <c r="G99" i="7" s="1"/>
  <c r="C99" i="7"/>
  <c r="H98" i="7"/>
  <c r="I98" i="7" s="1"/>
  <c r="D98" i="7"/>
  <c r="G98" i="7" s="1"/>
  <c r="J98" i="7" s="1"/>
  <c r="K98" i="7" s="1"/>
  <c r="C98" i="7"/>
  <c r="H97" i="7"/>
  <c r="I97" i="7" s="1"/>
  <c r="D97" i="7"/>
  <c r="G97" i="7" s="1"/>
  <c r="C97" i="7"/>
  <c r="H96" i="7"/>
  <c r="I96" i="7" s="1"/>
  <c r="D96" i="7"/>
  <c r="G96" i="7" s="1"/>
  <c r="C96" i="7"/>
  <c r="H95" i="7"/>
  <c r="I95" i="7" s="1"/>
  <c r="D95" i="7"/>
  <c r="G95" i="7" s="1"/>
  <c r="J95" i="7" s="1"/>
  <c r="K95" i="7" s="1"/>
  <c r="C95" i="7"/>
  <c r="H94" i="7"/>
  <c r="I94" i="7" s="1"/>
  <c r="D94" i="7"/>
  <c r="G94" i="7" s="1"/>
  <c r="C94" i="7"/>
  <c r="H93" i="7"/>
  <c r="I93" i="7" s="1"/>
  <c r="D93" i="7"/>
  <c r="G93" i="7" s="1"/>
  <c r="C93" i="7"/>
  <c r="H92" i="7"/>
  <c r="I92" i="7" s="1"/>
  <c r="D92" i="7"/>
  <c r="G92" i="7" s="1"/>
  <c r="J92" i="7" s="1"/>
  <c r="K92" i="7" s="1"/>
  <c r="C92" i="7"/>
  <c r="H91" i="7"/>
  <c r="I91" i="7" s="1"/>
  <c r="D91" i="7"/>
  <c r="G91" i="7" s="1"/>
  <c r="C91" i="7"/>
  <c r="H90" i="7"/>
  <c r="I90" i="7" s="1"/>
  <c r="D90" i="7"/>
  <c r="G90" i="7" s="1"/>
  <c r="C90" i="7"/>
  <c r="H89" i="7"/>
  <c r="I89" i="7" s="1"/>
  <c r="D89" i="7"/>
  <c r="G89" i="7" s="1"/>
  <c r="C89" i="7"/>
  <c r="H88" i="7"/>
  <c r="I88" i="7" s="1"/>
  <c r="D88" i="7"/>
  <c r="G88" i="7" s="1"/>
  <c r="C88" i="7"/>
  <c r="H87" i="7"/>
  <c r="I87" i="7" s="1"/>
  <c r="D87" i="7"/>
  <c r="G87" i="7" s="1"/>
  <c r="C87" i="7"/>
  <c r="H86" i="7"/>
  <c r="I86" i="7" s="1"/>
  <c r="D86" i="7"/>
  <c r="G86" i="7" s="1"/>
  <c r="C86" i="7"/>
  <c r="H85" i="7"/>
  <c r="I85" i="7" s="1"/>
  <c r="D85" i="7"/>
  <c r="G85" i="7" s="1"/>
  <c r="J85" i="7" s="1"/>
  <c r="K85" i="7" s="1"/>
  <c r="C85" i="7"/>
  <c r="H84" i="7"/>
  <c r="I84" i="7" s="1"/>
  <c r="D84" i="7"/>
  <c r="G84" i="7" s="1"/>
  <c r="J84" i="7" s="1"/>
  <c r="K84" i="7" s="1"/>
  <c r="C84" i="7"/>
  <c r="H83" i="7"/>
  <c r="I83" i="7" s="1"/>
  <c r="D83" i="7"/>
  <c r="G83" i="7" s="1"/>
  <c r="J83" i="7" s="1"/>
  <c r="K83" i="7" s="1"/>
  <c r="C83" i="7"/>
  <c r="H82" i="7"/>
  <c r="I82" i="7" s="1"/>
  <c r="D82" i="7"/>
  <c r="G82" i="7" s="1"/>
  <c r="C82" i="7"/>
  <c r="H81" i="7"/>
  <c r="I81" i="7" s="1"/>
  <c r="D81" i="7"/>
  <c r="G81" i="7" s="1"/>
  <c r="C81" i="7"/>
  <c r="H80" i="7"/>
  <c r="I80" i="7" s="1"/>
  <c r="D80" i="7"/>
  <c r="G80" i="7" s="1"/>
  <c r="J80" i="7" s="1"/>
  <c r="K80" i="7" s="1"/>
  <c r="C80" i="7"/>
  <c r="H79" i="7"/>
  <c r="I79" i="7" s="1"/>
  <c r="D79" i="7"/>
  <c r="G79" i="7" s="1"/>
  <c r="C79" i="7"/>
  <c r="H78" i="7"/>
  <c r="I78" i="7" s="1"/>
  <c r="D78" i="7"/>
  <c r="G78" i="7" s="1"/>
  <c r="J78" i="7" s="1"/>
  <c r="K78" i="7" s="1"/>
  <c r="C78" i="7"/>
  <c r="H77" i="7"/>
  <c r="I77" i="7" s="1"/>
  <c r="D77" i="7"/>
  <c r="G77" i="7" s="1"/>
  <c r="J77" i="7" s="1"/>
  <c r="K77" i="7" s="1"/>
  <c r="C77" i="7"/>
  <c r="H76" i="7"/>
  <c r="I76" i="7" s="1"/>
  <c r="D76" i="7"/>
  <c r="G76" i="7" s="1"/>
  <c r="C76" i="7"/>
  <c r="H75" i="7"/>
  <c r="I75" i="7" s="1"/>
  <c r="D75" i="7"/>
  <c r="G75" i="7" s="1"/>
  <c r="C75" i="7"/>
  <c r="H74" i="7"/>
  <c r="I74" i="7" s="1"/>
  <c r="D74" i="7"/>
  <c r="G74" i="7" s="1"/>
  <c r="C74" i="7"/>
  <c r="H73" i="7"/>
  <c r="I73" i="7" s="1"/>
  <c r="D73" i="7"/>
  <c r="G73" i="7" s="1"/>
  <c r="J73" i="7" s="1"/>
  <c r="K73" i="7" s="1"/>
  <c r="C73" i="7"/>
  <c r="H72" i="7"/>
  <c r="I72" i="7" s="1"/>
  <c r="D72" i="7"/>
  <c r="G72" i="7" s="1"/>
  <c r="J72" i="7" s="1"/>
  <c r="K72" i="7" s="1"/>
  <c r="C72" i="7"/>
  <c r="H71" i="7"/>
  <c r="I71" i="7" s="1"/>
  <c r="D71" i="7"/>
  <c r="G71" i="7" s="1"/>
  <c r="C71" i="7"/>
  <c r="H70" i="7"/>
  <c r="I70" i="7" s="1"/>
  <c r="D70" i="7"/>
  <c r="G70" i="7" s="1"/>
  <c r="C70" i="7"/>
  <c r="H69" i="7"/>
  <c r="I69" i="7" s="1"/>
  <c r="D69" i="7"/>
  <c r="G69" i="7" s="1"/>
  <c r="C69" i="7"/>
  <c r="H68" i="7"/>
  <c r="I68" i="7" s="1"/>
  <c r="D68" i="7"/>
  <c r="G68" i="7" s="1"/>
  <c r="C68" i="7"/>
  <c r="H67" i="7"/>
  <c r="I67" i="7" s="1"/>
  <c r="D67" i="7"/>
  <c r="G67" i="7" s="1"/>
  <c r="J67" i="7" s="1"/>
  <c r="K67" i="7" s="1"/>
  <c r="C67" i="7"/>
  <c r="H66" i="7"/>
  <c r="I66" i="7" s="1"/>
  <c r="D66" i="7"/>
  <c r="G66" i="7" s="1"/>
  <c r="C66" i="7"/>
  <c r="H65" i="7"/>
  <c r="I65" i="7" s="1"/>
  <c r="D65" i="7"/>
  <c r="G65" i="7" s="1"/>
  <c r="J65" i="7" s="1"/>
  <c r="K65" i="7" s="1"/>
  <c r="C65" i="7"/>
  <c r="H64" i="7"/>
  <c r="I64" i="7" s="1"/>
  <c r="D64" i="7"/>
  <c r="G64" i="7" s="1"/>
  <c r="J64" i="7" s="1"/>
  <c r="K64" i="7" s="1"/>
  <c r="C64" i="7"/>
  <c r="H63" i="7"/>
  <c r="I63" i="7" s="1"/>
  <c r="D63" i="7"/>
  <c r="G63" i="7" s="1"/>
  <c r="C63" i="7"/>
  <c r="H62" i="7"/>
  <c r="I62" i="7" s="1"/>
  <c r="D62" i="7"/>
  <c r="G62" i="7" s="1"/>
  <c r="C62" i="7"/>
  <c r="H61" i="7"/>
  <c r="I61" i="7" s="1"/>
  <c r="D61" i="7"/>
  <c r="G61" i="7" s="1"/>
  <c r="J61" i="7" s="1"/>
  <c r="K61" i="7" s="1"/>
  <c r="C61" i="7"/>
  <c r="H60" i="7"/>
  <c r="I60" i="7" s="1"/>
  <c r="D60" i="7"/>
  <c r="G60" i="7" s="1"/>
  <c r="C60" i="7"/>
  <c r="H59" i="7"/>
  <c r="I59" i="7" s="1"/>
  <c r="D59" i="7"/>
  <c r="G59" i="7" s="1"/>
  <c r="J59" i="7" s="1"/>
  <c r="K59" i="7" s="1"/>
  <c r="C59" i="7"/>
  <c r="H58" i="7"/>
  <c r="I58" i="7" s="1"/>
  <c r="D58" i="7"/>
  <c r="G58" i="7" s="1"/>
  <c r="C58" i="7"/>
  <c r="H57" i="7"/>
  <c r="I57" i="7" s="1"/>
  <c r="D57" i="7"/>
  <c r="G57" i="7" s="1"/>
  <c r="J57" i="7" s="1"/>
  <c r="K57" i="7" s="1"/>
  <c r="C57" i="7"/>
  <c r="H56" i="7"/>
  <c r="I56" i="7" s="1"/>
  <c r="D56" i="7"/>
  <c r="G56" i="7" s="1"/>
  <c r="C56" i="7"/>
  <c r="H55" i="7"/>
  <c r="I55" i="7" s="1"/>
  <c r="D55" i="7"/>
  <c r="G55" i="7" s="1"/>
  <c r="C55" i="7"/>
  <c r="H54" i="7"/>
  <c r="I54" i="7" s="1"/>
  <c r="D54" i="7"/>
  <c r="G54" i="7" s="1"/>
  <c r="C54" i="7"/>
  <c r="H53" i="7"/>
  <c r="I53" i="7" s="1"/>
  <c r="D53" i="7"/>
  <c r="G53" i="7" s="1"/>
  <c r="C53" i="7"/>
  <c r="H52" i="7"/>
  <c r="I52" i="7" s="1"/>
  <c r="D52" i="7"/>
  <c r="G52" i="7" s="1"/>
  <c r="C52" i="7"/>
  <c r="H51" i="7"/>
  <c r="I51" i="7" s="1"/>
  <c r="D51" i="7"/>
  <c r="G51" i="7" s="1"/>
  <c r="J51" i="7" s="1"/>
  <c r="K51" i="7" s="1"/>
  <c r="C51" i="7"/>
  <c r="H50" i="7"/>
  <c r="I50" i="7" s="1"/>
  <c r="D50" i="7"/>
  <c r="G50" i="7" s="1"/>
  <c r="C50" i="7"/>
  <c r="H49" i="7"/>
  <c r="I49" i="7" s="1"/>
  <c r="D49" i="7"/>
  <c r="G49" i="7" s="1"/>
  <c r="C49" i="7"/>
  <c r="H48" i="7"/>
  <c r="I48" i="7" s="1"/>
  <c r="D48" i="7"/>
  <c r="G48" i="7" s="1"/>
  <c r="C48" i="7"/>
  <c r="H47" i="7"/>
  <c r="I47" i="7" s="1"/>
  <c r="D47" i="7"/>
  <c r="G47" i="7" s="1"/>
  <c r="C47" i="7"/>
  <c r="H46" i="7"/>
  <c r="I46" i="7" s="1"/>
  <c r="D46" i="7"/>
  <c r="G46" i="7" s="1"/>
  <c r="J46" i="7" s="1"/>
  <c r="K46" i="7" s="1"/>
  <c r="C46" i="7"/>
  <c r="H45" i="7"/>
  <c r="I45" i="7" s="1"/>
  <c r="D45" i="7"/>
  <c r="G45" i="7" s="1"/>
  <c r="C45" i="7"/>
  <c r="H44" i="7"/>
  <c r="I44" i="7" s="1"/>
  <c r="D44" i="7"/>
  <c r="G44" i="7" s="1"/>
  <c r="C44" i="7"/>
  <c r="H43" i="7"/>
  <c r="I43" i="7" s="1"/>
  <c r="D43" i="7"/>
  <c r="G43" i="7" s="1"/>
  <c r="J43" i="7" s="1"/>
  <c r="K43" i="7" s="1"/>
  <c r="C43" i="7"/>
  <c r="H42" i="7"/>
  <c r="I42" i="7" s="1"/>
  <c r="D42" i="7"/>
  <c r="G42" i="7" s="1"/>
  <c r="C42" i="7"/>
  <c r="H41" i="7"/>
  <c r="I41" i="7" s="1"/>
  <c r="D41" i="7"/>
  <c r="G41" i="7" s="1"/>
  <c r="C41" i="7"/>
  <c r="H40" i="7"/>
  <c r="I40" i="7" s="1"/>
  <c r="D40" i="7"/>
  <c r="G40" i="7" s="1"/>
  <c r="J40" i="7" s="1"/>
  <c r="K40" i="7" s="1"/>
  <c r="C40" i="7"/>
  <c r="H39" i="7"/>
  <c r="I39" i="7" s="1"/>
  <c r="D39" i="7"/>
  <c r="G39" i="7" s="1"/>
  <c r="C39" i="7"/>
  <c r="H38" i="7"/>
  <c r="I38" i="7" s="1"/>
  <c r="D38" i="7"/>
  <c r="G38" i="7" s="1"/>
  <c r="J38" i="7" s="1"/>
  <c r="K38" i="7" s="1"/>
  <c r="C38" i="7"/>
  <c r="H37" i="7"/>
  <c r="I37" i="7" s="1"/>
  <c r="D37" i="7"/>
  <c r="G37" i="7" s="1"/>
  <c r="C37" i="7"/>
  <c r="H36" i="7"/>
  <c r="I36" i="7" s="1"/>
  <c r="D36" i="7"/>
  <c r="G36" i="7" s="1"/>
  <c r="J36" i="7" s="1"/>
  <c r="K36" i="7" s="1"/>
  <c r="C36" i="7"/>
  <c r="H35" i="7"/>
  <c r="I35" i="7" s="1"/>
  <c r="D35" i="7"/>
  <c r="G35" i="7" s="1"/>
  <c r="C35" i="7"/>
  <c r="H34" i="7"/>
  <c r="I34" i="7" s="1"/>
  <c r="D34" i="7"/>
  <c r="G34" i="7" s="1"/>
  <c r="J34" i="7" s="1"/>
  <c r="K34" i="7" s="1"/>
  <c r="C34" i="7"/>
  <c r="H33" i="7"/>
  <c r="I33" i="7" s="1"/>
  <c r="D33" i="7"/>
  <c r="G33" i="7" s="1"/>
  <c r="C33" i="7"/>
  <c r="H32" i="7"/>
  <c r="I32" i="7" s="1"/>
  <c r="D32" i="7"/>
  <c r="G32" i="7" s="1"/>
  <c r="C32" i="7"/>
  <c r="H31" i="7"/>
  <c r="I31" i="7" s="1"/>
  <c r="D31" i="7"/>
  <c r="G31" i="7" s="1"/>
  <c r="C31" i="7"/>
  <c r="H30" i="7"/>
  <c r="I30" i="7" s="1"/>
  <c r="D30" i="7"/>
  <c r="G30" i="7" s="1"/>
  <c r="J30" i="7" s="1"/>
  <c r="K30" i="7" s="1"/>
  <c r="C30" i="7"/>
  <c r="H29" i="7"/>
  <c r="I29" i="7" s="1"/>
  <c r="D29" i="7"/>
  <c r="G29" i="7" s="1"/>
  <c r="C29" i="7"/>
  <c r="H28" i="7"/>
  <c r="I28" i="7" s="1"/>
  <c r="D28" i="7"/>
  <c r="G28" i="7" s="1"/>
  <c r="C28" i="7"/>
  <c r="H27" i="7"/>
  <c r="I27" i="7" s="1"/>
  <c r="D27" i="7"/>
  <c r="G27" i="7" s="1"/>
  <c r="J27" i="7" s="1"/>
  <c r="K27" i="7" s="1"/>
  <c r="C27" i="7"/>
  <c r="H26" i="7"/>
  <c r="I26" i="7" s="1"/>
  <c r="D26" i="7"/>
  <c r="G26" i="7" s="1"/>
  <c r="C26" i="7"/>
  <c r="H25" i="7"/>
  <c r="I25" i="7" s="1"/>
  <c r="K27" i="6" s="1"/>
  <c r="D25" i="7"/>
  <c r="G25" i="7" s="1"/>
  <c r="C25" i="7"/>
  <c r="H24" i="7"/>
  <c r="I24" i="7" s="1"/>
  <c r="D24" i="7"/>
  <c r="G24" i="7" s="1"/>
  <c r="C24" i="7"/>
  <c r="H23" i="7"/>
  <c r="I23" i="7" s="1"/>
  <c r="D23" i="7"/>
  <c r="G23" i="7" s="1"/>
  <c r="J23" i="7" s="1"/>
  <c r="K23" i="7" s="1"/>
  <c r="C23" i="7"/>
  <c r="H22" i="7"/>
  <c r="I22" i="7" s="1"/>
  <c r="D22" i="7"/>
  <c r="G22" i="7" s="1"/>
  <c r="J22" i="7" s="1"/>
  <c r="K22" i="7" s="1"/>
  <c r="C22" i="7"/>
  <c r="H21" i="7"/>
  <c r="I21" i="7" s="1"/>
  <c r="K19" i="6" s="1"/>
  <c r="D21" i="7"/>
  <c r="G21" i="7" s="1"/>
  <c r="C21" i="7"/>
  <c r="H20" i="7"/>
  <c r="I20" i="7" s="1"/>
  <c r="K18" i="6" s="1"/>
  <c r="D20" i="7"/>
  <c r="G20" i="7" s="1"/>
  <c r="C20" i="7"/>
  <c r="H19" i="7"/>
  <c r="I19" i="7" s="1"/>
  <c r="D19" i="7"/>
  <c r="G19" i="7" s="1"/>
  <c r="C19" i="7"/>
  <c r="H18" i="7"/>
  <c r="I18" i="7" s="1"/>
  <c r="D18" i="7"/>
  <c r="G18" i="7" s="1"/>
  <c r="C18" i="7"/>
  <c r="H17" i="7"/>
  <c r="I17" i="7" s="1"/>
  <c r="D17" i="7"/>
  <c r="G17" i="7" s="1"/>
  <c r="C17" i="7"/>
  <c r="H16" i="7"/>
  <c r="I16" i="7" s="1"/>
  <c r="D16" i="7"/>
  <c r="G16" i="7" s="1"/>
  <c r="C16" i="7"/>
  <c r="H15" i="7"/>
  <c r="I15" i="7" s="1"/>
  <c r="D15" i="7"/>
  <c r="G15" i="7" s="1"/>
  <c r="C15" i="7"/>
  <c r="H14" i="7"/>
  <c r="I14" i="7" s="1"/>
  <c r="D14" i="7"/>
  <c r="G14" i="7" s="1"/>
  <c r="C14" i="7"/>
  <c r="H13" i="7"/>
  <c r="I13" i="7" s="1"/>
  <c r="D13" i="7"/>
  <c r="G13" i="7" s="1"/>
  <c r="C13" i="7"/>
  <c r="H12" i="7"/>
  <c r="I12" i="7" s="1"/>
  <c r="D12" i="7"/>
  <c r="G12" i="7" s="1"/>
  <c r="C12" i="7"/>
  <c r="H11" i="7"/>
  <c r="I11" i="7" s="1"/>
  <c r="D11" i="7"/>
  <c r="G11" i="7" s="1"/>
  <c r="C11" i="7"/>
  <c r="H10" i="7"/>
  <c r="I10" i="7" s="1"/>
  <c r="D10" i="7"/>
  <c r="G10" i="7" s="1"/>
  <c r="C10" i="7"/>
  <c r="H9" i="7"/>
  <c r="I9" i="7" s="1"/>
  <c r="D9" i="7"/>
  <c r="G9" i="7" s="1"/>
  <c r="C9" i="7"/>
  <c r="H8" i="7"/>
  <c r="I8" i="7" s="1"/>
  <c r="D8" i="7"/>
  <c r="G8" i="7" s="1"/>
  <c r="C8" i="7"/>
  <c r="H7" i="7"/>
  <c r="I7" i="7" s="1"/>
  <c r="K14" i="6" s="1"/>
  <c r="D7" i="7"/>
  <c r="G7" i="7" s="1"/>
  <c r="C7" i="7"/>
  <c r="H6" i="7"/>
  <c r="I6" i="7" s="1"/>
  <c r="D6" i="7"/>
  <c r="G6" i="7" s="1"/>
  <c r="C6" i="7"/>
  <c r="AP48" i="6"/>
  <c r="AO48" i="6"/>
  <c r="AN48"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AX47" i="6"/>
  <c r="AW47" i="6"/>
  <c r="AV47" i="6"/>
  <c r="AU47" i="6"/>
  <c r="AT47" i="6"/>
  <c r="AS47" i="6"/>
  <c r="AR47" i="6"/>
  <c r="AQ47" i="6"/>
  <c r="K47" i="6"/>
  <c r="J47" i="6"/>
  <c r="H47" i="6"/>
  <c r="G47" i="6"/>
  <c r="F47" i="6"/>
  <c r="E47" i="6"/>
  <c r="I47" i="6" s="1"/>
  <c r="D47" i="6"/>
  <c r="C47" i="6"/>
  <c r="AX46" i="6"/>
  <c r="AW46" i="6"/>
  <c r="AV46" i="6"/>
  <c r="AU46" i="6"/>
  <c r="AT46" i="6"/>
  <c r="AS46" i="6"/>
  <c r="AR46" i="6"/>
  <c r="AQ46" i="6"/>
  <c r="K46" i="6"/>
  <c r="J46" i="6"/>
  <c r="H46" i="6"/>
  <c r="G46" i="6"/>
  <c r="F46" i="6"/>
  <c r="E46" i="6"/>
  <c r="I46" i="6" s="1"/>
  <c r="D46" i="6"/>
  <c r="C46" i="6"/>
  <c r="AX45" i="6"/>
  <c r="AW45" i="6"/>
  <c r="AV45" i="6"/>
  <c r="AU45" i="6"/>
  <c r="AT45" i="6"/>
  <c r="AS45" i="6"/>
  <c r="AR45" i="6"/>
  <c r="AQ45" i="6"/>
  <c r="K45" i="6"/>
  <c r="J45" i="6"/>
  <c r="H45" i="6"/>
  <c r="G45" i="6"/>
  <c r="F45" i="6"/>
  <c r="E45" i="6"/>
  <c r="I45" i="6" s="1"/>
  <c r="D45" i="6"/>
  <c r="C45" i="6"/>
  <c r="AX44" i="6"/>
  <c r="AW44" i="6"/>
  <c r="AV44" i="6"/>
  <c r="AU44" i="6"/>
  <c r="AT44" i="6"/>
  <c r="AS44" i="6"/>
  <c r="AR44" i="6"/>
  <c r="AQ44" i="6"/>
  <c r="K44" i="6"/>
  <c r="J44" i="6"/>
  <c r="H44" i="6"/>
  <c r="G44" i="6"/>
  <c r="F44" i="6"/>
  <c r="E44" i="6"/>
  <c r="I44" i="6" s="1"/>
  <c r="D44" i="6"/>
  <c r="C44" i="6"/>
  <c r="AX43" i="6"/>
  <c r="AW43" i="6"/>
  <c r="AV43" i="6"/>
  <c r="AU43" i="6"/>
  <c r="AT43" i="6"/>
  <c r="AS43" i="6"/>
  <c r="AR43" i="6"/>
  <c r="AQ43" i="6"/>
  <c r="K43" i="6"/>
  <c r="J43" i="6"/>
  <c r="H43" i="6"/>
  <c r="G43" i="6"/>
  <c r="F43" i="6"/>
  <c r="E43" i="6"/>
  <c r="I43" i="6" s="1"/>
  <c r="D43" i="6"/>
  <c r="C43" i="6"/>
  <c r="AX42" i="6"/>
  <c r="AW42" i="6"/>
  <c r="AV42" i="6"/>
  <c r="AU42" i="6"/>
  <c r="AT42" i="6"/>
  <c r="AS42" i="6"/>
  <c r="AR42" i="6"/>
  <c r="AQ42" i="6"/>
  <c r="K42" i="6"/>
  <c r="J42" i="6"/>
  <c r="H42" i="6"/>
  <c r="G42" i="6"/>
  <c r="F42" i="6"/>
  <c r="E42" i="6"/>
  <c r="I42" i="6" s="1"/>
  <c r="D42" i="6"/>
  <c r="C42" i="6"/>
  <c r="AX41" i="6"/>
  <c r="AW41" i="6"/>
  <c r="AV41" i="6"/>
  <c r="AU41" i="6"/>
  <c r="AT41" i="6"/>
  <c r="AS41" i="6"/>
  <c r="AR41" i="6"/>
  <c r="AQ41" i="6"/>
  <c r="K41" i="6"/>
  <c r="J41" i="6"/>
  <c r="H41" i="6"/>
  <c r="G41" i="6"/>
  <c r="F41" i="6"/>
  <c r="E41" i="6"/>
  <c r="I41" i="6" s="1"/>
  <c r="D41" i="6"/>
  <c r="C41" i="6"/>
  <c r="AX40" i="6"/>
  <c r="AW40" i="6"/>
  <c r="AV40" i="6"/>
  <c r="AU40" i="6"/>
  <c r="AT40" i="6"/>
  <c r="AS40" i="6"/>
  <c r="AR40" i="6"/>
  <c r="AQ40" i="6"/>
  <c r="K40" i="6"/>
  <c r="J40" i="6"/>
  <c r="H40" i="6"/>
  <c r="G40" i="6"/>
  <c r="F40" i="6"/>
  <c r="E40" i="6"/>
  <c r="I40" i="6" s="1"/>
  <c r="D40" i="6"/>
  <c r="C40" i="6"/>
  <c r="AX39" i="6"/>
  <c r="AW39" i="6"/>
  <c r="AV39" i="6"/>
  <c r="AU39" i="6"/>
  <c r="AT39" i="6"/>
  <c r="AS39" i="6"/>
  <c r="AR39" i="6"/>
  <c r="AQ39" i="6"/>
  <c r="K39" i="6"/>
  <c r="J39" i="6"/>
  <c r="H39" i="6"/>
  <c r="G39" i="6"/>
  <c r="F39" i="6"/>
  <c r="E39" i="6"/>
  <c r="I39" i="6" s="1"/>
  <c r="D39" i="6"/>
  <c r="C39" i="6"/>
  <c r="AX38" i="6"/>
  <c r="AW38" i="6"/>
  <c r="AV38" i="6"/>
  <c r="AU38" i="6"/>
  <c r="AT38" i="6"/>
  <c r="AS38" i="6"/>
  <c r="AR38" i="6"/>
  <c r="AQ38" i="6"/>
  <c r="K38" i="6"/>
  <c r="J38" i="6"/>
  <c r="H38" i="6"/>
  <c r="G38" i="6"/>
  <c r="F38" i="6"/>
  <c r="E38" i="6"/>
  <c r="I38" i="6" s="1"/>
  <c r="D38" i="6"/>
  <c r="C38" i="6"/>
  <c r="AX37" i="6"/>
  <c r="AW37" i="6"/>
  <c r="AV37" i="6"/>
  <c r="AU37" i="6"/>
  <c r="AT37" i="6"/>
  <c r="AS37" i="6"/>
  <c r="AR37" i="6"/>
  <c r="AQ37" i="6"/>
  <c r="H37" i="6"/>
  <c r="G37" i="6"/>
  <c r="F37" i="6"/>
  <c r="D37" i="6"/>
  <c r="C37" i="6"/>
  <c r="AX36" i="6"/>
  <c r="AW36" i="6"/>
  <c r="AV36" i="6"/>
  <c r="AU36" i="6"/>
  <c r="AT36" i="6"/>
  <c r="AS36" i="6"/>
  <c r="AR36" i="6"/>
  <c r="AQ36" i="6"/>
  <c r="H36" i="6"/>
  <c r="G36" i="6"/>
  <c r="F36" i="6"/>
  <c r="D36" i="6"/>
  <c r="C36" i="6"/>
  <c r="AX35" i="6"/>
  <c r="AW35" i="6"/>
  <c r="AV35" i="6"/>
  <c r="AU35" i="6"/>
  <c r="AT35" i="6"/>
  <c r="AS35" i="6"/>
  <c r="AR35" i="6"/>
  <c r="AQ35" i="6"/>
  <c r="H35" i="6"/>
  <c r="G35" i="6"/>
  <c r="F35" i="6"/>
  <c r="D35" i="6"/>
  <c r="C35" i="6"/>
  <c r="AX34" i="6"/>
  <c r="AW34" i="6"/>
  <c r="AV34" i="6"/>
  <c r="AU34" i="6"/>
  <c r="AT34" i="6"/>
  <c r="AS34" i="6"/>
  <c r="AR34" i="6"/>
  <c r="AQ34" i="6"/>
  <c r="H34" i="6"/>
  <c r="G34" i="6"/>
  <c r="F34" i="6"/>
  <c r="D34" i="6"/>
  <c r="C34" i="6"/>
  <c r="AX33" i="6"/>
  <c r="AW33" i="6"/>
  <c r="AV33" i="6"/>
  <c r="AU33" i="6"/>
  <c r="AT33" i="6"/>
  <c r="AS33" i="6"/>
  <c r="AR33" i="6"/>
  <c r="AQ33" i="6"/>
  <c r="H33" i="6"/>
  <c r="G33" i="6"/>
  <c r="F33" i="6"/>
  <c r="D33" i="6"/>
  <c r="C33" i="6"/>
  <c r="AX32" i="6"/>
  <c r="AW32" i="6"/>
  <c r="AV32" i="6"/>
  <c r="AU32" i="6"/>
  <c r="AT32" i="6"/>
  <c r="AS32" i="6"/>
  <c r="AR32" i="6"/>
  <c r="AQ32" i="6"/>
  <c r="H32" i="6"/>
  <c r="G32" i="6"/>
  <c r="F32" i="6"/>
  <c r="D32" i="6"/>
  <c r="C32" i="6"/>
  <c r="AX31" i="6"/>
  <c r="AW31" i="6"/>
  <c r="AV31" i="6"/>
  <c r="AU31" i="6"/>
  <c r="AT31" i="6"/>
  <c r="AS31" i="6"/>
  <c r="AR31" i="6"/>
  <c r="AQ31" i="6"/>
  <c r="H31" i="6"/>
  <c r="G31" i="6"/>
  <c r="F31" i="6"/>
  <c r="D31" i="6"/>
  <c r="C31" i="6"/>
  <c r="AX30" i="6"/>
  <c r="AW30" i="6"/>
  <c r="AV30" i="6"/>
  <c r="AU30" i="6"/>
  <c r="AT30" i="6"/>
  <c r="AS30" i="6"/>
  <c r="AR30" i="6"/>
  <c r="AQ30" i="6"/>
  <c r="H30" i="6"/>
  <c r="G30" i="6"/>
  <c r="F30" i="6"/>
  <c r="D30" i="6"/>
  <c r="C30" i="6"/>
  <c r="AX29" i="6"/>
  <c r="AW29" i="6"/>
  <c r="AV29" i="6"/>
  <c r="AU29" i="6"/>
  <c r="AT29" i="6"/>
  <c r="AS29" i="6"/>
  <c r="AR29" i="6"/>
  <c r="AQ29" i="6"/>
  <c r="H29" i="6"/>
  <c r="C19" i="14" s="1"/>
  <c r="G29" i="6"/>
  <c r="F29" i="6"/>
  <c r="C17" i="14" s="1"/>
  <c r="D29" i="6"/>
  <c r="C29" i="6"/>
  <c r="AX28" i="6"/>
  <c r="AW28" i="6"/>
  <c r="AV28" i="6"/>
  <c r="AU28" i="6"/>
  <c r="AT28" i="6"/>
  <c r="AS28" i="6"/>
  <c r="AR28" i="6"/>
  <c r="AQ28" i="6"/>
  <c r="H28" i="6"/>
  <c r="G28" i="6"/>
  <c r="F28" i="6"/>
  <c r="D28" i="6"/>
  <c r="C28" i="6"/>
  <c r="AX27" i="6"/>
  <c r="AW27" i="6"/>
  <c r="AV27" i="6"/>
  <c r="AU27" i="6"/>
  <c r="AT27" i="6"/>
  <c r="AS27" i="6"/>
  <c r="AR27" i="6"/>
  <c r="AQ27" i="6"/>
  <c r="H27" i="6"/>
  <c r="G27" i="6"/>
  <c r="F27" i="6"/>
  <c r="D27" i="6"/>
  <c r="C27" i="6"/>
  <c r="AX26" i="6"/>
  <c r="AW26" i="6"/>
  <c r="AV26" i="6"/>
  <c r="AU26" i="6"/>
  <c r="AT26" i="6"/>
  <c r="AS26" i="6"/>
  <c r="AR26" i="6"/>
  <c r="AQ26" i="6"/>
  <c r="H26" i="6"/>
  <c r="G26" i="6"/>
  <c r="F26" i="6"/>
  <c r="D26" i="6"/>
  <c r="C26" i="6"/>
  <c r="AX25" i="6"/>
  <c r="AW25" i="6"/>
  <c r="AV25" i="6"/>
  <c r="AU25" i="6"/>
  <c r="AT25" i="6"/>
  <c r="AS25" i="6"/>
  <c r="AR25" i="6"/>
  <c r="AQ25" i="6"/>
  <c r="H25" i="6"/>
  <c r="G25" i="6"/>
  <c r="F25" i="6"/>
  <c r="D25" i="6"/>
  <c r="C25" i="6"/>
  <c r="AX24" i="6"/>
  <c r="AW24" i="6"/>
  <c r="AV24" i="6"/>
  <c r="AU24" i="6"/>
  <c r="AT24" i="6"/>
  <c r="AS24" i="6"/>
  <c r="AR24" i="6"/>
  <c r="AQ24" i="6"/>
  <c r="H24" i="6"/>
  <c r="G24" i="6"/>
  <c r="F24" i="6"/>
  <c r="D24" i="6"/>
  <c r="C24" i="6"/>
  <c r="AX23" i="6"/>
  <c r="AW23" i="6"/>
  <c r="AV23" i="6"/>
  <c r="AU23" i="6"/>
  <c r="AT23" i="6"/>
  <c r="AS23" i="6"/>
  <c r="AR23" i="6"/>
  <c r="AQ23" i="6"/>
  <c r="H23" i="6"/>
  <c r="G23" i="6"/>
  <c r="F23" i="6"/>
  <c r="D23" i="6"/>
  <c r="C23" i="6"/>
  <c r="AX22" i="6"/>
  <c r="AW22" i="6"/>
  <c r="AV22" i="6"/>
  <c r="AU22" i="6"/>
  <c r="AT22" i="6"/>
  <c r="AS22" i="6"/>
  <c r="AR22" i="6"/>
  <c r="AQ22" i="6"/>
  <c r="H22" i="6"/>
  <c r="G22" i="6"/>
  <c r="F22" i="6"/>
  <c r="D22" i="6"/>
  <c r="C22" i="6"/>
  <c r="AX21" i="6"/>
  <c r="AW21" i="6"/>
  <c r="AV21" i="6"/>
  <c r="AU21" i="6"/>
  <c r="AT21" i="6"/>
  <c r="AS21" i="6"/>
  <c r="AR21" i="6"/>
  <c r="AQ21" i="6"/>
  <c r="H21" i="6"/>
  <c r="G21" i="6"/>
  <c r="F21" i="6"/>
  <c r="D21" i="6"/>
  <c r="C21" i="6"/>
  <c r="AX20" i="6"/>
  <c r="AW20" i="6"/>
  <c r="AV20" i="6"/>
  <c r="AU20" i="6"/>
  <c r="AT20" i="6"/>
  <c r="AS20" i="6"/>
  <c r="AR20" i="6"/>
  <c r="AQ20" i="6"/>
  <c r="H20" i="6"/>
  <c r="G20" i="6"/>
  <c r="F20" i="6"/>
  <c r="D20" i="6"/>
  <c r="C20" i="6"/>
  <c r="AX19" i="6"/>
  <c r="AW19" i="6"/>
  <c r="AV19" i="6"/>
  <c r="AU19" i="6"/>
  <c r="AT19" i="6"/>
  <c r="AS19" i="6"/>
  <c r="AR19" i="6"/>
  <c r="AQ19" i="6"/>
  <c r="H19" i="6"/>
  <c r="G19" i="6"/>
  <c r="F19" i="6"/>
  <c r="D19" i="6"/>
  <c r="C19" i="6"/>
  <c r="AX18" i="6"/>
  <c r="AW18" i="6"/>
  <c r="AV18" i="6"/>
  <c r="AU18" i="6"/>
  <c r="AT18" i="6"/>
  <c r="AS18" i="6"/>
  <c r="AR18" i="6"/>
  <c r="AQ18" i="6"/>
  <c r="H18" i="6"/>
  <c r="G18" i="6"/>
  <c r="F18" i="6"/>
  <c r="D18" i="6"/>
  <c r="C18" i="6"/>
  <c r="AX17" i="6"/>
  <c r="AW17" i="6"/>
  <c r="AV17" i="6"/>
  <c r="AU17" i="6"/>
  <c r="AT17" i="6"/>
  <c r="AS17" i="6"/>
  <c r="AR17" i="6"/>
  <c r="AQ17" i="6"/>
  <c r="H17" i="6"/>
  <c r="G17" i="6"/>
  <c r="F17" i="6"/>
  <c r="D17" i="6"/>
  <c r="C17" i="6"/>
  <c r="AX16" i="6"/>
  <c r="AW16" i="6"/>
  <c r="AV16" i="6"/>
  <c r="AU16" i="6"/>
  <c r="AT16" i="6"/>
  <c r="AS16" i="6"/>
  <c r="AR16" i="6"/>
  <c r="AQ16" i="6"/>
  <c r="H16" i="6"/>
  <c r="G16" i="6"/>
  <c r="I30" i="8" s="1"/>
  <c r="J30" i="8" s="1"/>
  <c r="F16" i="6"/>
  <c r="D16" i="6"/>
  <c r="C16" i="6"/>
  <c r="AX15" i="6"/>
  <c r="AW15" i="6"/>
  <c r="AV15" i="6"/>
  <c r="AU15" i="6"/>
  <c r="AT15" i="6"/>
  <c r="AS15" i="6"/>
  <c r="AR15" i="6"/>
  <c r="AQ15" i="6"/>
  <c r="H15" i="6"/>
  <c r="G15" i="6"/>
  <c r="F15" i="6"/>
  <c r="D15" i="6"/>
  <c r="C15" i="6"/>
  <c r="AX14" i="6"/>
  <c r="AW14" i="6"/>
  <c r="AV14" i="6"/>
  <c r="AU14" i="6"/>
  <c r="AT14" i="6"/>
  <c r="AS14" i="6"/>
  <c r="AR14" i="6"/>
  <c r="AQ14" i="6"/>
  <c r="H14" i="6"/>
  <c r="H48" i="6" s="1"/>
  <c r="G14" i="6"/>
  <c r="G48" i="6" s="1"/>
  <c r="F14" i="6"/>
  <c r="F48" i="6" s="1"/>
  <c r="D14" i="6"/>
  <c r="C14" i="6"/>
  <c r="AX13" i="6"/>
  <c r="AW13" i="6"/>
  <c r="AV13" i="6"/>
  <c r="AU13" i="6"/>
  <c r="AT13" i="6"/>
  <c r="AS13" i="6"/>
  <c r="AR13" i="6"/>
  <c r="AQ13" i="6"/>
  <c r="H13" i="6"/>
  <c r="G13" i="6"/>
  <c r="F13" i="6"/>
  <c r="D13" i="6"/>
  <c r="C13" i="6"/>
  <c r="AX12" i="6"/>
  <c r="AW12" i="6"/>
  <c r="AV12" i="6"/>
  <c r="AU12" i="6"/>
  <c r="AT12" i="6"/>
  <c r="AS12" i="6"/>
  <c r="AR12" i="6"/>
  <c r="AQ12" i="6"/>
  <c r="H12" i="6"/>
  <c r="G12" i="6"/>
  <c r="F12" i="6"/>
  <c r="D12" i="6"/>
  <c r="C12" i="6"/>
  <c r="AX11" i="6"/>
  <c r="AW11" i="6"/>
  <c r="AV11" i="6"/>
  <c r="AU11" i="6"/>
  <c r="AT11" i="6"/>
  <c r="AS11" i="6"/>
  <c r="AR11" i="6"/>
  <c r="AQ11" i="6"/>
  <c r="H11" i="6"/>
  <c r="G11" i="6"/>
  <c r="F11" i="6"/>
  <c r="D11" i="6"/>
  <c r="C11" i="6"/>
  <c r="AX10" i="6"/>
  <c r="AW10" i="6"/>
  <c r="AV10" i="6"/>
  <c r="AU10" i="6"/>
  <c r="AT10" i="6"/>
  <c r="AS10" i="6"/>
  <c r="AR10" i="6"/>
  <c r="AQ10" i="6"/>
  <c r="K10" i="6"/>
  <c r="J10" i="6"/>
  <c r="H10" i="6"/>
  <c r="G10" i="6"/>
  <c r="F10" i="6"/>
  <c r="D10" i="6"/>
  <c r="C10" i="6"/>
  <c r="AX9" i="6"/>
  <c r="AW9" i="6"/>
  <c r="AV9" i="6"/>
  <c r="AU9" i="6"/>
  <c r="AT9" i="6"/>
  <c r="AS9" i="6"/>
  <c r="AR9" i="6"/>
  <c r="AQ9" i="6"/>
  <c r="H9" i="6"/>
  <c r="G9" i="6"/>
  <c r="F9" i="6"/>
  <c r="D9" i="6"/>
  <c r="C9" i="6"/>
  <c r="AX8" i="6"/>
  <c r="AX48" i="6" s="1"/>
  <c r="AW8" i="6"/>
  <c r="AW48" i="6" s="1"/>
  <c r="AV8" i="6"/>
  <c r="AV48" i="6" s="1"/>
  <c r="AU8" i="6"/>
  <c r="AU48" i="6" s="1"/>
  <c r="AT8" i="6"/>
  <c r="AT48" i="6" s="1"/>
  <c r="AS8" i="6"/>
  <c r="AS48" i="6" s="1"/>
  <c r="AR8" i="6"/>
  <c r="AR48" i="6" s="1"/>
  <c r="AQ8" i="6"/>
  <c r="AQ48" i="6" s="1"/>
  <c r="H8" i="6"/>
  <c r="G8" i="6"/>
  <c r="F6" i="13" s="1"/>
  <c r="F8" i="6"/>
  <c r="D8" i="6"/>
  <c r="C8" i="6"/>
  <c r="F3" i="6"/>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F25" i="5"/>
  <c r="I24" i="5"/>
  <c r="F24" i="5"/>
  <c r="I23" i="5"/>
  <c r="F23" i="5"/>
  <c r="I22" i="5"/>
  <c r="F22" i="5"/>
  <c r="I21" i="5"/>
  <c r="F21" i="5"/>
  <c r="I20" i="5"/>
  <c r="F20" i="5"/>
  <c r="I19" i="5"/>
  <c r="F19" i="5"/>
  <c r="I18" i="5"/>
  <c r="F18" i="5"/>
  <c r="I17" i="5"/>
  <c r="F17" i="5"/>
  <c r="I16" i="5"/>
  <c r="F16" i="5"/>
  <c r="F15" i="5"/>
  <c r="F14" i="5"/>
  <c r="F13" i="5"/>
  <c r="F12" i="5"/>
  <c r="F11" i="5"/>
  <c r="F10" i="5"/>
  <c r="F6" i="5"/>
  <c r="F7" i="5" s="1"/>
  <c r="F8" i="5" s="1"/>
  <c r="F9" i="5" s="1"/>
  <c r="K45" i="4"/>
  <c r="J45" i="4"/>
  <c r="G45" i="4"/>
  <c r="K44" i="4"/>
  <c r="J44" i="4"/>
  <c r="G44" i="4"/>
  <c r="K43" i="4"/>
  <c r="J43" i="4"/>
  <c r="G43" i="4"/>
  <c r="K42" i="4"/>
  <c r="J42" i="4"/>
  <c r="G42" i="4"/>
  <c r="K41" i="4"/>
  <c r="J41" i="4"/>
  <c r="G41" i="4"/>
  <c r="K40" i="4"/>
  <c r="J40" i="4"/>
  <c r="G40" i="4"/>
  <c r="K39" i="4"/>
  <c r="J39" i="4"/>
  <c r="G39" i="4"/>
  <c r="K38" i="4"/>
  <c r="J38" i="4"/>
  <c r="G38" i="4"/>
  <c r="K37" i="4"/>
  <c r="J37" i="4"/>
  <c r="G37" i="4"/>
  <c r="K36" i="4"/>
  <c r="J36" i="4"/>
  <c r="G36" i="4"/>
  <c r="K35" i="4"/>
  <c r="J35" i="4"/>
  <c r="G35" i="4"/>
  <c r="K34" i="4"/>
  <c r="J34" i="4"/>
  <c r="G34" i="4"/>
  <c r="K33" i="4"/>
  <c r="J33" i="4"/>
  <c r="G33" i="4"/>
  <c r="K32" i="4"/>
  <c r="J32" i="4"/>
  <c r="G32" i="4"/>
  <c r="K31" i="4"/>
  <c r="J31" i="4"/>
  <c r="G31" i="4"/>
  <c r="K30" i="4"/>
  <c r="J30" i="4"/>
  <c r="G30" i="4"/>
  <c r="K29" i="4"/>
  <c r="J29" i="4"/>
  <c r="G29" i="4"/>
  <c r="K28" i="4"/>
  <c r="J28" i="4"/>
  <c r="G28" i="4"/>
  <c r="K27" i="4"/>
  <c r="J27" i="4"/>
  <c r="G27" i="4"/>
  <c r="C11" i="14" s="1"/>
  <c r="K26" i="4"/>
  <c r="J26" i="4"/>
  <c r="G26" i="4"/>
  <c r="K25" i="4"/>
  <c r="J25" i="4"/>
  <c r="G25" i="4"/>
  <c r="K24" i="4"/>
  <c r="J24" i="4"/>
  <c r="G24" i="4"/>
  <c r="K23" i="4"/>
  <c r="J23" i="4"/>
  <c r="G23" i="4"/>
  <c r="K22" i="4"/>
  <c r="J22" i="4"/>
  <c r="G22" i="4"/>
  <c r="K21" i="4"/>
  <c r="J21" i="4"/>
  <c r="G21" i="4"/>
  <c r="K20" i="4"/>
  <c r="J20" i="4"/>
  <c r="G20" i="4"/>
  <c r="K19" i="4"/>
  <c r="J19" i="4"/>
  <c r="G19" i="4"/>
  <c r="K18" i="4"/>
  <c r="J18" i="4"/>
  <c r="G18" i="4"/>
  <c r="K17" i="4"/>
  <c r="J17" i="4"/>
  <c r="G17" i="4"/>
  <c r="K16" i="4"/>
  <c r="J16" i="4"/>
  <c r="G16" i="4"/>
  <c r="K15" i="4"/>
  <c r="J15" i="4"/>
  <c r="G15" i="4"/>
  <c r="K14" i="4"/>
  <c r="J14" i="4"/>
  <c r="G14" i="4"/>
  <c r="K13" i="4"/>
  <c r="J13" i="4"/>
  <c r="G13" i="4"/>
  <c r="K12" i="4"/>
  <c r="J12" i="4"/>
  <c r="G12" i="4"/>
  <c r="K11" i="4"/>
  <c r="J11" i="4"/>
  <c r="G11" i="4"/>
  <c r="K10" i="4"/>
  <c r="J10" i="4"/>
  <c r="G10" i="4"/>
  <c r="K9" i="4"/>
  <c r="J9" i="4"/>
  <c r="G9" i="4"/>
  <c r="K8" i="4"/>
  <c r="J8" i="4"/>
  <c r="G8" i="4"/>
  <c r="K7" i="4"/>
  <c r="J7" i="4"/>
  <c r="G7" i="4"/>
  <c r="K6" i="4"/>
  <c r="J6" i="4"/>
  <c r="G6" i="4"/>
  <c r="C24" i="2"/>
  <c r="C18" i="2"/>
  <c r="C17" i="2"/>
  <c r="C15" i="2"/>
  <c r="C14" i="2"/>
  <c r="K15" i="6" l="1"/>
  <c r="N13" i="12" s="1"/>
  <c r="O13" i="12" s="1"/>
  <c r="J28" i="7"/>
  <c r="K28" i="7" s="1"/>
  <c r="K8" i="6"/>
  <c r="N6" i="12" s="1"/>
  <c r="I45" i="12"/>
  <c r="C45" i="12"/>
  <c r="D45" i="12"/>
  <c r="E45" i="12"/>
  <c r="F45" i="12"/>
  <c r="G45" i="12"/>
  <c r="H45" i="12"/>
  <c r="J45" i="12"/>
  <c r="K45" i="12"/>
  <c r="L45" i="12"/>
  <c r="M45" i="12"/>
  <c r="N45" i="12"/>
  <c r="Q45" i="12"/>
  <c r="O45" i="12"/>
  <c r="P45" i="12"/>
  <c r="P44" i="12"/>
  <c r="O44" i="12"/>
  <c r="N44" i="12"/>
  <c r="Q44" i="12"/>
  <c r="L44" i="12"/>
  <c r="K44" i="12"/>
  <c r="J44" i="12"/>
  <c r="I44" i="12"/>
  <c r="H44" i="12"/>
  <c r="G44" i="12"/>
  <c r="F44" i="12"/>
  <c r="E44" i="12"/>
  <c r="D44" i="12"/>
  <c r="C44" i="12"/>
  <c r="M44" i="12"/>
  <c r="D43" i="12"/>
  <c r="E43" i="12"/>
  <c r="F43" i="12"/>
  <c r="G43" i="12"/>
  <c r="H43" i="12"/>
  <c r="I43" i="12"/>
  <c r="J43" i="12"/>
  <c r="K43" i="12"/>
  <c r="C43" i="12"/>
  <c r="L43" i="12"/>
  <c r="M43" i="12"/>
  <c r="N43" i="12"/>
  <c r="O43" i="12"/>
  <c r="P43" i="12"/>
  <c r="Q43" i="12"/>
  <c r="C42" i="12"/>
  <c r="Q42" i="12"/>
  <c r="P42" i="12"/>
  <c r="O42" i="12"/>
  <c r="N42" i="12"/>
  <c r="M42" i="12"/>
  <c r="L42" i="12"/>
  <c r="K42" i="12"/>
  <c r="J42" i="12"/>
  <c r="I42" i="12"/>
  <c r="H42" i="12"/>
  <c r="G42" i="12"/>
  <c r="F42" i="12"/>
  <c r="E42" i="12"/>
  <c r="D42" i="12"/>
  <c r="P41" i="12"/>
  <c r="O41" i="12"/>
  <c r="N41" i="12"/>
  <c r="M41" i="12"/>
  <c r="L41" i="12"/>
  <c r="K41" i="12"/>
  <c r="J41" i="12"/>
  <c r="I41" i="12"/>
  <c r="H41" i="12"/>
  <c r="G41" i="12"/>
  <c r="F41" i="12"/>
  <c r="E41" i="12"/>
  <c r="D41" i="12"/>
  <c r="C41" i="12"/>
  <c r="Q41" i="12"/>
  <c r="I40" i="12"/>
  <c r="K40" i="12"/>
  <c r="L40" i="12"/>
  <c r="M40" i="12"/>
  <c r="N40" i="12"/>
  <c r="O40" i="12"/>
  <c r="P40" i="12"/>
  <c r="Q40" i="12"/>
  <c r="J40" i="12"/>
  <c r="H40" i="12"/>
  <c r="G40" i="12"/>
  <c r="F40" i="12"/>
  <c r="E40" i="12"/>
  <c r="D40" i="12"/>
  <c r="C40" i="12"/>
  <c r="P39" i="12"/>
  <c r="O39" i="12"/>
  <c r="N39" i="12"/>
  <c r="H39" i="12"/>
  <c r="L39" i="12"/>
  <c r="K39" i="12"/>
  <c r="J39" i="12"/>
  <c r="M39" i="12"/>
  <c r="I39" i="12"/>
  <c r="G39" i="12"/>
  <c r="F39" i="12"/>
  <c r="E39" i="12"/>
  <c r="D39" i="12"/>
  <c r="C39" i="12"/>
  <c r="Q39" i="12"/>
  <c r="J38" i="12"/>
  <c r="K38" i="12"/>
  <c r="L38" i="12"/>
  <c r="M38" i="12"/>
  <c r="N38" i="12"/>
  <c r="O38" i="12"/>
  <c r="P38" i="12"/>
  <c r="Q38" i="12"/>
  <c r="C38" i="12"/>
  <c r="D38" i="12"/>
  <c r="E38" i="12"/>
  <c r="F38" i="12"/>
  <c r="G38" i="12"/>
  <c r="H38" i="12"/>
  <c r="I38" i="12"/>
  <c r="J37" i="12"/>
  <c r="I37" i="12"/>
  <c r="H37" i="12"/>
  <c r="G37" i="12"/>
  <c r="F37" i="12"/>
  <c r="E37" i="12"/>
  <c r="D37" i="12"/>
  <c r="C37" i="12"/>
  <c r="Q37" i="12"/>
  <c r="P37" i="12"/>
  <c r="O37" i="12"/>
  <c r="N37" i="12"/>
  <c r="M37" i="12"/>
  <c r="L37" i="12"/>
  <c r="K37" i="12"/>
  <c r="J36" i="12"/>
  <c r="I36" i="12"/>
  <c r="H36" i="12"/>
  <c r="G36" i="12"/>
  <c r="F36" i="12"/>
  <c r="E36" i="12"/>
  <c r="D36" i="12"/>
  <c r="C36" i="12"/>
  <c r="Q36" i="12"/>
  <c r="P36" i="12"/>
  <c r="O36" i="12"/>
  <c r="N36" i="12"/>
  <c r="M36" i="12"/>
  <c r="L36" i="12"/>
  <c r="K36" i="12"/>
  <c r="I35" i="12"/>
  <c r="L35" i="12" s="1"/>
  <c r="H35" i="12"/>
  <c r="K35" i="12" s="1"/>
  <c r="G35" i="12"/>
  <c r="J35" i="12" s="1"/>
  <c r="F35" i="12"/>
  <c r="E35" i="12"/>
  <c r="D35" i="12"/>
  <c r="C35" i="12"/>
  <c r="G34" i="12"/>
  <c r="J34" i="12" s="1"/>
  <c r="H34" i="12"/>
  <c r="K34" i="12" s="1"/>
  <c r="I34" i="12"/>
  <c r="L34" i="12" s="1"/>
  <c r="C34" i="12"/>
  <c r="D34" i="12"/>
  <c r="E34" i="12"/>
  <c r="F34" i="12"/>
  <c r="I33" i="12"/>
  <c r="C33" i="12"/>
  <c r="D33" i="12"/>
  <c r="E33" i="12"/>
  <c r="G33" i="12"/>
  <c r="H33" i="12"/>
  <c r="K33" i="12" s="1"/>
  <c r="F33" i="12"/>
  <c r="J33" i="12"/>
  <c r="L33" i="12"/>
  <c r="E32" i="12"/>
  <c r="F32" i="12"/>
  <c r="G32" i="12"/>
  <c r="H32" i="12"/>
  <c r="I32" i="12"/>
  <c r="J32" i="12"/>
  <c r="K32" i="12"/>
  <c r="L32" i="12"/>
  <c r="D32" i="12"/>
  <c r="C32" i="12"/>
  <c r="I31" i="12"/>
  <c r="L31" i="12" s="1"/>
  <c r="H31" i="12"/>
  <c r="K31" i="12" s="1"/>
  <c r="G31" i="12"/>
  <c r="J31" i="12" s="1"/>
  <c r="F31" i="12"/>
  <c r="E31" i="12"/>
  <c r="D31" i="12"/>
  <c r="C31" i="12"/>
  <c r="C30" i="12"/>
  <c r="I30" i="12"/>
  <c r="L30" i="12" s="1"/>
  <c r="H30" i="12"/>
  <c r="K30" i="12" s="1"/>
  <c r="G30" i="12"/>
  <c r="F30" i="12"/>
  <c r="E30" i="12"/>
  <c r="D30" i="12"/>
  <c r="J30" i="12"/>
  <c r="I29" i="12"/>
  <c r="L29" i="12" s="1"/>
  <c r="F29" i="12"/>
  <c r="G29" i="12"/>
  <c r="J29" i="12" s="1"/>
  <c r="E29" i="12"/>
  <c r="D29" i="12"/>
  <c r="C29" i="12"/>
  <c r="H29" i="12"/>
  <c r="K29" i="12" s="1"/>
  <c r="D28" i="12"/>
  <c r="E28" i="12"/>
  <c r="H28" i="12"/>
  <c r="K28" i="12" s="1"/>
  <c r="G28" i="12"/>
  <c r="J28" i="12" s="1"/>
  <c r="F28" i="12"/>
  <c r="C28" i="12"/>
  <c r="I28" i="12"/>
  <c r="L28" i="12" s="1"/>
  <c r="I27" i="12"/>
  <c r="L27" i="12" s="1"/>
  <c r="H27" i="12"/>
  <c r="K27" i="12" s="1"/>
  <c r="G27" i="12"/>
  <c r="J27" i="12" s="1"/>
  <c r="F27" i="12"/>
  <c r="E27" i="12"/>
  <c r="D27" i="12"/>
  <c r="C27" i="12"/>
  <c r="I26" i="12"/>
  <c r="G26" i="12"/>
  <c r="F26" i="12"/>
  <c r="E26" i="12"/>
  <c r="D26" i="12"/>
  <c r="C26" i="12"/>
  <c r="L26" i="12"/>
  <c r="J26" i="12"/>
  <c r="H26" i="12"/>
  <c r="K26" i="12" s="1"/>
  <c r="F25" i="12"/>
  <c r="G25" i="12"/>
  <c r="C25" i="12"/>
  <c r="D25" i="12"/>
  <c r="E25" i="12"/>
  <c r="H25" i="12"/>
  <c r="N25" i="12"/>
  <c r="O25" i="12" s="1"/>
  <c r="K25" i="12"/>
  <c r="J25" i="12"/>
  <c r="I25" i="12"/>
  <c r="L25" i="12" s="1"/>
  <c r="G24" i="12"/>
  <c r="H24" i="12"/>
  <c r="C24" i="12"/>
  <c r="D24" i="12"/>
  <c r="E24" i="12"/>
  <c r="F24" i="12"/>
  <c r="K24" i="12"/>
  <c r="J24" i="12"/>
  <c r="I24" i="12"/>
  <c r="L24" i="12" s="1"/>
  <c r="H23" i="12"/>
  <c r="G23" i="12"/>
  <c r="F23" i="12"/>
  <c r="E23" i="12"/>
  <c r="D23" i="12"/>
  <c r="J23" i="12"/>
  <c r="I23" i="12"/>
  <c r="L23" i="12" s="1"/>
  <c r="K23" i="12"/>
  <c r="C23" i="12"/>
  <c r="I22" i="12"/>
  <c r="L22" i="12" s="1"/>
  <c r="C22" i="12"/>
  <c r="D22" i="12"/>
  <c r="E22" i="12"/>
  <c r="F22" i="12"/>
  <c r="G22" i="12"/>
  <c r="J22" i="12" s="1"/>
  <c r="H22" i="12"/>
  <c r="K22" i="12" s="1"/>
  <c r="I21" i="12"/>
  <c r="L21" i="12" s="1"/>
  <c r="H21" i="12"/>
  <c r="K21" i="12" s="1"/>
  <c r="G21" i="12"/>
  <c r="J21" i="12" s="1"/>
  <c r="F21" i="12"/>
  <c r="E21" i="12"/>
  <c r="D21" i="12"/>
  <c r="C21" i="12"/>
  <c r="I20" i="12"/>
  <c r="L20" i="12" s="1"/>
  <c r="H20" i="12"/>
  <c r="K20" i="12" s="1"/>
  <c r="G20" i="12"/>
  <c r="J20" i="12" s="1"/>
  <c r="F20" i="12"/>
  <c r="E20" i="12"/>
  <c r="D20" i="12"/>
  <c r="C20" i="12"/>
  <c r="N19" i="12"/>
  <c r="O19" i="12" s="1"/>
  <c r="I19" i="12"/>
  <c r="L19" i="12" s="1"/>
  <c r="H19" i="12"/>
  <c r="K19" i="12" s="1"/>
  <c r="G19" i="12"/>
  <c r="J19" i="12" s="1"/>
  <c r="F19" i="12"/>
  <c r="E19" i="12"/>
  <c r="D19" i="12"/>
  <c r="C19" i="12"/>
  <c r="I18" i="12"/>
  <c r="L18" i="12" s="1"/>
  <c r="H18" i="12"/>
  <c r="K18" i="12" s="1"/>
  <c r="G18" i="12"/>
  <c r="J18" i="12" s="1"/>
  <c r="F18" i="12"/>
  <c r="E18" i="12"/>
  <c r="D18" i="12"/>
  <c r="C18" i="12"/>
  <c r="G17" i="12"/>
  <c r="N17" i="12"/>
  <c r="O17" i="12" s="1"/>
  <c r="I17" i="12"/>
  <c r="L17" i="12" s="1"/>
  <c r="H17" i="12"/>
  <c r="K17" i="12" s="1"/>
  <c r="F17" i="12"/>
  <c r="E17" i="12"/>
  <c r="J17" i="12" s="1"/>
  <c r="D17" i="12"/>
  <c r="C17" i="12"/>
  <c r="F16" i="12"/>
  <c r="G16" i="12"/>
  <c r="H16" i="12"/>
  <c r="I16" i="12"/>
  <c r="N16" i="12"/>
  <c r="O16" i="12" s="1"/>
  <c r="C16" i="12"/>
  <c r="D16" i="12"/>
  <c r="E16" i="12"/>
  <c r="H15" i="12"/>
  <c r="I15" i="12"/>
  <c r="L15" i="12" s="1"/>
  <c r="G15" i="12"/>
  <c r="J15" i="12" s="1"/>
  <c r="F15" i="12"/>
  <c r="E15" i="12"/>
  <c r="K15" i="12" s="1"/>
  <c r="D15" i="12"/>
  <c r="C15" i="12"/>
  <c r="H14" i="12"/>
  <c r="I14" i="12"/>
  <c r="E14" i="12"/>
  <c r="C14" i="12"/>
  <c r="D14" i="12"/>
  <c r="F14" i="12"/>
  <c r="G14" i="12"/>
  <c r="J14" i="12" s="1"/>
  <c r="C13" i="12"/>
  <c r="E13" i="12"/>
  <c r="F13" i="12"/>
  <c r="G13" i="12"/>
  <c r="H13" i="12"/>
  <c r="K13" i="12" s="1"/>
  <c r="I13" i="12"/>
  <c r="L13" i="12" s="1"/>
  <c r="J13" i="12"/>
  <c r="D13" i="12"/>
  <c r="N12" i="12"/>
  <c r="O12" i="12" s="1"/>
  <c r="I12" i="12"/>
  <c r="L12" i="12" s="1"/>
  <c r="H12" i="12"/>
  <c r="G12" i="12"/>
  <c r="J12" i="12" s="1"/>
  <c r="F12" i="12"/>
  <c r="E12" i="12"/>
  <c r="D12" i="12"/>
  <c r="C12" i="12"/>
  <c r="K12" i="12"/>
  <c r="I11" i="12"/>
  <c r="L11" i="12" s="1"/>
  <c r="H11" i="12"/>
  <c r="K11" i="12" s="1"/>
  <c r="G11" i="12"/>
  <c r="J11" i="12" s="1"/>
  <c r="F11" i="12"/>
  <c r="E11" i="12"/>
  <c r="D11" i="12"/>
  <c r="C11" i="12"/>
  <c r="G10" i="12"/>
  <c r="H10" i="12"/>
  <c r="I10" i="12"/>
  <c r="C10" i="12"/>
  <c r="D10" i="12"/>
  <c r="E10" i="12"/>
  <c r="F10" i="12"/>
  <c r="C9" i="12"/>
  <c r="I9" i="12"/>
  <c r="L9" i="12" s="1"/>
  <c r="H9" i="12"/>
  <c r="K9" i="12" s="1"/>
  <c r="G9" i="12"/>
  <c r="J9" i="12" s="1"/>
  <c r="F9" i="12"/>
  <c r="E9" i="12"/>
  <c r="D9" i="12"/>
  <c r="I8" i="12"/>
  <c r="G8" i="12"/>
  <c r="J8" i="12" s="1"/>
  <c r="F8" i="12"/>
  <c r="E8" i="12"/>
  <c r="D8" i="12"/>
  <c r="C8" i="12"/>
  <c r="H8" i="12"/>
  <c r="N8" i="12"/>
  <c r="O8" i="12" s="1"/>
  <c r="L8" i="12"/>
  <c r="K8" i="12"/>
  <c r="C7" i="12"/>
  <c r="E7" i="12"/>
  <c r="F7" i="12"/>
  <c r="G7" i="12"/>
  <c r="H7" i="12"/>
  <c r="I7" i="12"/>
  <c r="L7" i="12" s="1"/>
  <c r="J7" i="12"/>
  <c r="K7" i="12"/>
  <c r="N7" i="12"/>
  <c r="O7" i="12" s="1"/>
  <c r="D7" i="12"/>
  <c r="E6" i="12"/>
  <c r="D6" i="12"/>
  <c r="I6" i="12"/>
  <c r="H6" i="12"/>
  <c r="K6" i="12" s="1"/>
  <c r="G6" i="12"/>
  <c r="J6" i="12" s="1"/>
  <c r="F6" i="12"/>
  <c r="L6" i="12"/>
  <c r="C6" i="12"/>
  <c r="J46" i="11"/>
  <c r="I46" i="11"/>
  <c r="H46" i="11"/>
  <c r="G46" i="11"/>
  <c r="F46" i="11"/>
  <c r="E46" i="11"/>
  <c r="D46" i="11"/>
  <c r="C46" i="11"/>
  <c r="K46" i="11"/>
  <c r="C45" i="11"/>
  <c r="D45" i="11"/>
  <c r="E45" i="11"/>
  <c r="F45" i="11"/>
  <c r="G45" i="11"/>
  <c r="H45" i="11"/>
  <c r="I45" i="11"/>
  <c r="J45" i="11"/>
  <c r="K45" i="11" s="1"/>
  <c r="F44" i="11"/>
  <c r="G44" i="11"/>
  <c r="H44" i="11"/>
  <c r="I44" i="11"/>
  <c r="J44" i="11"/>
  <c r="K44" i="11" s="1"/>
  <c r="C44" i="11"/>
  <c r="D44" i="11"/>
  <c r="E44" i="11"/>
  <c r="C43" i="11"/>
  <c r="D43" i="11"/>
  <c r="E43" i="11"/>
  <c r="F43" i="11"/>
  <c r="G43" i="11"/>
  <c r="H43" i="11"/>
  <c r="I43" i="11"/>
  <c r="J43" i="11"/>
  <c r="K43" i="11" s="1"/>
  <c r="J42" i="11"/>
  <c r="I42" i="11"/>
  <c r="G42" i="11"/>
  <c r="F42" i="11"/>
  <c r="E42" i="11"/>
  <c r="D42" i="11"/>
  <c r="H42" i="11"/>
  <c r="C42" i="11"/>
  <c r="K42" i="11"/>
  <c r="C41" i="11"/>
  <c r="D41" i="11"/>
  <c r="E41" i="11"/>
  <c r="J40" i="11"/>
  <c r="K40" i="11"/>
  <c r="G40" i="11"/>
  <c r="F40" i="11"/>
  <c r="E40" i="11"/>
  <c r="D40" i="11"/>
  <c r="C40" i="11"/>
  <c r="I40" i="11"/>
  <c r="H40" i="11"/>
  <c r="C39" i="11"/>
  <c r="G39" i="11"/>
  <c r="D39" i="11"/>
  <c r="E39" i="11"/>
  <c r="J39" i="11"/>
  <c r="K39" i="11" s="1"/>
  <c r="I39" i="11"/>
  <c r="F39" i="11"/>
  <c r="H39" i="11"/>
  <c r="D38" i="11"/>
  <c r="F38" i="11"/>
  <c r="E38" i="11"/>
  <c r="J38" i="11"/>
  <c r="K38" i="11" s="1"/>
  <c r="I38" i="11"/>
  <c r="H38" i="11"/>
  <c r="G38" i="11"/>
  <c r="C38" i="11"/>
  <c r="G37" i="11"/>
  <c r="J37" i="11"/>
  <c r="I37" i="11"/>
  <c r="H37" i="11"/>
  <c r="E37" i="11"/>
  <c r="D37" i="11"/>
  <c r="C37" i="11"/>
  <c r="K37" i="11"/>
  <c r="F37" i="11"/>
  <c r="F36" i="11"/>
  <c r="D36" i="11"/>
  <c r="C36" i="11"/>
  <c r="G35" i="11"/>
  <c r="F35" i="11"/>
  <c r="D35" i="11"/>
  <c r="C35" i="11"/>
  <c r="C34" i="11"/>
  <c r="D34" i="11"/>
  <c r="F34" i="11"/>
  <c r="F33" i="11"/>
  <c r="D33" i="11"/>
  <c r="C33" i="11"/>
  <c r="G33" i="11"/>
  <c r="G32" i="11"/>
  <c r="C32" i="11"/>
  <c r="D32" i="11"/>
  <c r="F32" i="11"/>
  <c r="F31" i="11"/>
  <c r="C31" i="11"/>
  <c r="D31" i="11"/>
  <c r="G31" i="11"/>
  <c r="C30" i="11"/>
  <c r="G30" i="11"/>
  <c r="D30" i="11"/>
  <c r="F30" i="11"/>
  <c r="D29" i="11"/>
  <c r="F29" i="11"/>
  <c r="C29" i="11"/>
  <c r="G29" i="11"/>
  <c r="F28" i="11"/>
  <c r="G28" i="11"/>
  <c r="C28" i="11"/>
  <c r="D28" i="11"/>
  <c r="F27" i="11"/>
  <c r="D27" i="11"/>
  <c r="C27" i="11"/>
  <c r="G27" i="11"/>
  <c r="F26" i="11"/>
  <c r="D26" i="11"/>
  <c r="C26" i="11"/>
  <c r="G25" i="11"/>
  <c r="F25" i="11"/>
  <c r="D25" i="11"/>
  <c r="C25" i="11"/>
  <c r="G24" i="11"/>
  <c r="F24" i="11"/>
  <c r="D24" i="11"/>
  <c r="C24" i="11"/>
  <c r="H23" i="11"/>
  <c r="F23" i="11"/>
  <c r="D23" i="11"/>
  <c r="C23" i="11"/>
  <c r="F22" i="11"/>
  <c r="D22" i="11"/>
  <c r="C22" i="11"/>
  <c r="F21" i="11"/>
  <c r="D21" i="11"/>
  <c r="C21" i="11"/>
  <c r="G21" i="11"/>
  <c r="F20" i="11"/>
  <c r="D20" i="11"/>
  <c r="C20" i="11"/>
  <c r="G20" i="11"/>
  <c r="G19" i="11"/>
  <c r="F19" i="11"/>
  <c r="D19" i="11"/>
  <c r="C19" i="11"/>
  <c r="F18" i="11"/>
  <c r="G18" i="11"/>
  <c r="C18" i="11"/>
  <c r="D18" i="11"/>
  <c r="D17" i="11"/>
  <c r="C17" i="11"/>
  <c r="F17" i="11"/>
  <c r="G17" i="11"/>
  <c r="C16" i="11"/>
  <c r="D16" i="11"/>
  <c r="F16" i="11"/>
  <c r="G16" i="11"/>
  <c r="D15" i="11"/>
  <c r="G15" i="11"/>
  <c r="F15" i="11"/>
  <c r="C15" i="11"/>
  <c r="D14" i="11"/>
  <c r="F14" i="11"/>
  <c r="G14" i="11"/>
  <c r="C14" i="11"/>
  <c r="F13" i="11"/>
  <c r="D13" i="11"/>
  <c r="C13" i="11"/>
  <c r="F12" i="11"/>
  <c r="D12" i="11"/>
  <c r="C12" i="11"/>
  <c r="H12" i="11"/>
  <c r="C11" i="11"/>
  <c r="F11" i="11"/>
  <c r="D11" i="11"/>
  <c r="G10" i="11"/>
  <c r="C10" i="11"/>
  <c r="D10" i="11"/>
  <c r="F10" i="11"/>
  <c r="I9" i="11"/>
  <c r="C9" i="11"/>
  <c r="F9" i="11"/>
  <c r="D9" i="11"/>
  <c r="F8" i="11"/>
  <c r="D8" i="11"/>
  <c r="C8" i="11"/>
  <c r="F7" i="11"/>
  <c r="D7" i="11"/>
  <c r="C7" i="11"/>
  <c r="AK45" i="10"/>
  <c r="AJ45" i="10"/>
  <c r="AI45" i="10"/>
  <c r="AH45" i="10"/>
  <c r="AG45" i="10"/>
  <c r="AF45" i="10"/>
  <c r="AE45" i="10"/>
  <c r="AD45" i="10"/>
  <c r="AC45" i="10"/>
  <c r="AB45" i="10"/>
  <c r="AA45" i="10"/>
  <c r="Z45" i="10"/>
  <c r="Y45" i="10"/>
  <c r="X45" i="10"/>
  <c r="W45" i="10"/>
  <c r="V45" i="10"/>
  <c r="T45" i="10"/>
  <c r="R45" i="10"/>
  <c r="Q45" i="10"/>
  <c r="P45" i="10"/>
  <c r="C45" i="10"/>
  <c r="AU44" i="10"/>
  <c r="CF44" i="10"/>
  <c r="CE44" i="10"/>
  <c r="CD44" i="10"/>
  <c r="CC44" i="10"/>
  <c r="CB44" i="10"/>
  <c r="CA44" i="10"/>
  <c r="BZ44" i="10"/>
  <c r="BY44" i="10"/>
  <c r="BX44" i="10"/>
  <c r="BW44" i="10"/>
  <c r="BV44" i="10"/>
  <c r="BU44" i="10"/>
  <c r="BT44" i="10"/>
  <c r="BS44" i="10"/>
  <c r="BR44" i="10"/>
  <c r="BQ44" i="10"/>
  <c r="BP44" i="10"/>
  <c r="BO44" i="10"/>
  <c r="BN44" i="10"/>
  <c r="BM44" i="10"/>
  <c r="BL44" i="10"/>
  <c r="BK44" i="10"/>
  <c r="BJ44" i="10"/>
  <c r="BI44" i="10"/>
  <c r="BH44" i="10"/>
  <c r="BG44" i="10"/>
  <c r="BF44" i="10"/>
  <c r="BE44" i="10"/>
  <c r="BD44" i="10"/>
  <c r="BC44" i="10"/>
  <c r="BB44" i="10"/>
  <c r="AZ44" i="10"/>
  <c r="AY44" i="10"/>
  <c r="AX44" i="10"/>
  <c r="AW44" i="10"/>
  <c r="AV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T44" i="10"/>
  <c r="R44" i="10"/>
  <c r="Q44" i="10"/>
  <c r="P44" i="10"/>
  <c r="C44" i="10"/>
  <c r="BQ43" i="10"/>
  <c r="BR43" i="10"/>
  <c r="BS43" i="10"/>
  <c r="AD43" i="10"/>
  <c r="X43" i="10"/>
  <c r="Y43" i="10"/>
  <c r="Z43" i="10"/>
  <c r="AA43" i="10"/>
  <c r="AB43" i="10"/>
  <c r="BU43" i="10"/>
  <c r="AC43" i="10"/>
  <c r="AE43" i="10"/>
  <c r="AF43" i="10"/>
  <c r="AG43" i="10"/>
  <c r="AH43" i="10"/>
  <c r="AI43" i="10"/>
  <c r="W43" i="10"/>
  <c r="V43" i="10"/>
  <c r="T43" i="10"/>
  <c r="R43" i="10"/>
  <c r="Q43" i="10"/>
  <c r="P43" i="10"/>
  <c r="C43" i="10"/>
  <c r="AJ43" i="10"/>
  <c r="AK43" i="10"/>
  <c r="BT43" i="10"/>
  <c r="AL43" i="10"/>
  <c r="AM43" i="10"/>
  <c r="AN43" i="10"/>
  <c r="AO43" i="10"/>
  <c r="AP43" i="10"/>
  <c r="AQ43" i="10"/>
  <c r="AR43" i="10"/>
  <c r="AS43" i="10"/>
  <c r="AT43" i="10"/>
  <c r="AU43" i="10"/>
  <c r="AV43" i="10"/>
  <c r="AW43" i="10"/>
  <c r="AX43" i="10"/>
  <c r="AY43" i="10"/>
  <c r="AZ43" i="10"/>
  <c r="BB43" i="10"/>
  <c r="BC43" i="10"/>
  <c r="BD43" i="10"/>
  <c r="BE43" i="10"/>
  <c r="BF43" i="10"/>
  <c r="BG43" i="10"/>
  <c r="BH43" i="10"/>
  <c r="BI43" i="10"/>
  <c r="BJ43" i="10"/>
  <c r="BK43" i="10"/>
  <c r="BL43" i="10"/>
  <c r="BM43" i="10"/>
  <c r="BN43" i="10"/>
  <c r="BO43" i="10"/>
  <c r="BP43" i="10"/>
  <c r="CF43" i="10"/>
  <c r="CE43" i="10"/>
  <c r="CD43" i="10"/>
  <c r="CC43" i="10"/>
  <c r="CB43" i="10"/>
  <c r="CA43" i="10"/>
  <c r="BZ43" i="10"/>
  <c r="BY43" i="10"/>
  <c r="BX43" i="10"/>
  <c r="BW43" i="10"/>
  <c r="BV43" i="10"/>
  <c r="BU42" i="10"/>
  <c r="BT42" i="10"/>
  <c r="BS42" i="10"/>
  <c r="BR42" i="10"/>
  <c r="BQ42" i="10"/>
  <c r="BP42" i="10"/>
  <c r="BO42" i="10"/>
  <c r="BN42" i="10"/>
  <c r="BM42" i="10"/>
  <c r="BL42" i="10"/>
  <c r="BK42" i="10"/>
  <c r="BJ42" i="10"/>
  <c r="BI42" i="10"/>
  <c r="BH42" i="10"/>
  <c r="BG42" i="10"/>
  <c r="BF42" i="10"/>
  <c r="BE42" i="10"/>
  <c r="BD42" i="10"/>
  <c r="BC42" i="10"/>
  <c r="BB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T42" i="10"/>
  <c r="R42" i="10"/>
  <c r="Q42" i="10"/>
  <c r="P42" i="10"/>
  <c r="C42" i="10"/>
  <c r="CF42" i="10"/>
  <c r="CE42" i="10"/>
  <c r="CD42" i="10"/>
  <c r="CC42" i="10"/>
  <c r="CB42" i="10"/>
  <c r="CA42" i="10"/>
  <c r="BZ42" i="10"/>
  <c r="BY42" i="10"/>
  <c r="BX42" i="10"/>
  <c r="BW42" i="10"/>
  <c r="BV42" i="10"/>
  <c r="AQ41" i="10"/>
  <c r="BU41" i="10"/>
  <c r="BT41" i="10"/>
  <c r="BS41" i="10"/>
  <c r="BR41" i="10"/>
  <c r="BQ41" i="10"/>
  <c r="BP41" i="10"/>
  <c r="BO41" i="10"/>
  <c r="BN41" i="10"/>
  <c r="BM41" i="10"/>
  <c r="BL41" i="10"/>
  <c r="BK41" i="10"/>
  <c r="BJ41" i="10"/>
  <c r="BI41" i="10"/>
  <c r="BH41" i="10"/>
  <c r="BG41" i="10"/>
  <c r="BF41" i="10"/>
  <c r="BE41" i="10"/>
  <c r="BD41" i="10"/>
  <c r="BC41" i="10"/>
  <c r="BB41" i="10"/>
  <c r="AZ41" i="10"/>
  <c r="AY41" i="10"/>
  <c r="AX41" i="10"/>
  <c r="AW41" i="10"/>
  <c r="AV41" i="10"/>
  <c r="AU41" i="10"/>
  <c r="AT41" i="10"/>
  <c r="AS41" i="10"/>
  <c r="CD41" i="10"/>
  <c r="AR41" i="10"/>
  <c r="C41" i="10"/>
  <c r="AP41" i="10"/>
  <c r="AO41" i="10"/>
  <c r="AN41" i="10"/>
  <c r="AM41" i="10"/>
  <c r="AL41" i="10"/>
  <c r="AK41" i="10"/>
  <c r="AJ41" i="10"/>
  <c r="AI41" i="10"/>
  <c r="AH41" i="10"/>
  <c r="AG41" i="10"/>
  <c r="AF41" i="10"/>
  <c r="AE41" i="10"/>
  <c r="AD41" i="10"/>
  <c r="AC41" i="10"/>
  <c r="AB41" i="10"/>
  <c r="AA41" i="10"/>
  <c r="Z41" i="10"/>
  <c r="Y41" i="10"/>
  <c r="X41" i="10"/>
  <c r="W41" i="10"/>
  <c r="V41" i="10"/>
  <c r="T41" i="10"/>
  <c r="R41" i="10"/>
  <c r="Q41" i="10"/>
  <c r="CF41" i="10"/>
  <c r="CE41" i="10"/>
  <c r="P41" i="10"/>
  <c r="CC41" i="10"/>
  <c r="CB41" i="10"/>
  <c r="CA41" i="10"/>
  <c r="BZ41" i="10"/>
  <c r="BY41" i="10"/>
  <c r="BX41" i="10"/>
  <c r="BW41" i="10"/>
  <c r="BV41" i="10"/>
  <c r="BZ40" i="10"/>
  <c r="BF40" i="10"/>
  <c r="BH40" i="10"/>
  <c r="BY40" i="10"/>
  <c r="BX40" i="10"/>
  <c r="BI40" i="10"/>
  <c r="CF40" i="10"/>
  <c r="CE40" i="10"/>
  <c r="CD40" i="10"/>
  <c r="CC40" i="10"/>
  <c r="CB40" i="10"/>
  <c r="CA40" i="10"/>
  <c r="BC40" i="10"/>
  <c r="BW40" i="10"/>
  <c r="BV40" i="10"/>
  <c r="BU40" i="10"/>
  <c r="BT40" i="10"/>
  <c r="BS40" i="10"/>
  <c r="BR40" i="10"/>
  <c r="BQ40" i="10"/>
  <c r="BP40" i="10"/>
  <c r="BD40" i="10"/>
  <c r="BJ40" i="10"/>
  <c r="BO40" i="10"/>
  <c r="BN40" i="10"/>
  <c r="BM40" i="10"/>
  <c r="BL40" i="10"/>
  <c r="BK40" i="10"/>
  <c r="BE40" i="10"/>
  <c r="BG40" i="10"/>
  <c r="BB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T40" i="10"/>
  <c r="R40" i="10"/>
  <c r="Q40" i="10"/>
  <c r="P40" i="10"/>
  <c r="C40" i="10"/>
  <c r="AD39" i="10"/>
  <c r="AE39" i="10"/>
  <c r="AG39" i="10"/>
  <c r="AH39" i="10"/>
  <c r="AI39" i="10"/>
  <c r="AL39" i="10"/>
  <c r="Y39" i="10"/>
  <c r="AJ39" i="10"/>
  <c r="AK39" i="10"/>
  <c r="AF39" i="10"/>
  <c r="C39" i="10"/>
  <c r="P39" i="10"/>
  <c r="Q39" i="10"/>
  <c r="R39" i="10"/>
  <c r="T39" i="10"/>
  <c r="V39" i="10"/>
  <c r="W39" i="10"/>
  <c r="X39" i="10"/>
  <c r="Z39" i="10"/>
  <c r="AA39" i="10"/>
  <c r="AB39" i="10"/>
  <c r="AC39" i="10"/>
  <c r="AM39" i="10"/>
  <c r="AN39" i="10"/>
  <c r="AO39" i="10"/>
  <c r="AP39" i="10"/>
  <c r="AQ39" i="10"/>
  <c r="AR39" i="10"/>
  <c r="AS39" i="10"/>
  <c r="AT39" i="10"/>
  <c r="AU39" i="10"/>
  <c r="AV39" i="10"/>
  <c r="AW39" i="10"/>
  <c r="AX39" i="10"/>
  <c r="AY39" i="10"/>
  <c r="V38" i="10"/>
  <c r="W38" i="10"/>
  <c r="X38" i="10"/>
  <c r="Y38" i="10"/>
  <c r="Z38" i="10"/>
  <c r="AA38" i="10"/>
  <c r="AB38" i="10"/>
  <c r="AC38" i="10"/>
  <c r="AD38" i="10"/>
  <c r="AE38" i="10"/>
  <c r="AF38" i="10"/>
  <c r="AG38" i="10"/>
  <c r="AH38" i="10"/>
  <c r="AI38" i="10"/>
  <c r="AJ38" i="10"/>
  <c r="BP38" i="10"/>
  <c r="BT38" i="10"/>
  <c r="BU38" i="10"/>
  <c r="BV38" i="10"/>
  <c r="BW38" i="10"/>
  <c r="BX38" i="10"/>
  <c r="AK38" i="10"/>
  <c r="BY38" i="10"/>
  <c r="BZ38" i="10"/>
  <c r="CA38" i="10"/>
  <c r="CB38" i="10"/>
  <c r="CC38" i="10"/>
  <c r="CD38" i="10"/>
  <c r="CE38" i="10"/>
  <c r="CF38" i="10"/>
  <c r="C38" i="10"/>
  <c r="P38" i="10"/>
  <c r="Q38" i="10"/>
  <c r="R38" i="10"/>
  <c r="T38" i="10"/>
  <c r="AL38" i="10"/>
  <c r="AM38" i="10"/>
  <c r="AN38" i="10"/>
  <c r="AO38" i="10"/>
  <c r="AP38" i="10"/>
  <c r="AQ38" i="10"/>
  <c r="AR38" i="10"/>
  <c r="AS38" i="10"/>
  <c r="AT38" i="10"/>
  <c r="AU38" i="10"/>
  <c r="AV38" i="10"/>
  <c r="AW38" i="10"/>
  <c r="AX38" i="10"/>
  <c r="AY38" i="10"/>
  <c r="AZ38" i="10"/>
  <c r="BB38" i="10"/>
  <c r="BC38" i="10"/>
  <c r="BD38" i="10"/>
  <c r="BE38" i="10"/>
  <c r="BF38" i="10"/>
  <c r="BG38" i="10"/>
  <c r="BH38" i="10"/>
  <c r="BI38" i="10"/>
  <c r="BJ38" i="10"/>
  <c r="BK38" i="10"/>
  <c r="BL38" i="10"/>
  <c r="BM38" i="10"/>
  <c r="BN38" i="10"/>
  <c r="BO38" i="10"/>
  <c r="BQ38" i="10"/>
  <c r="BR38" i="10"/>
  <c r="BS38" i="10"/>
  <c r="AU37" i="10"/>
  <c r="AT37" i="10"/>
  <c r="AS37" i="10"/>
  <c r="AQ37" i="10"/>
  <c r="AP37" i="10"/>
  <c r="AO37" i="10"/>
  <c r="AN37" i="10"/>
  <c r="AM37" i="10"/>
  <c r="AL37" i="10"/>
  <c r="AK37" i="10"/>
  <c r="AJ37" i="10"/>
  <c r="AI37" i="10"/>
  <c r="AH37" i="10"/>
  <c r="AG37" i="10"/>
  <c r="AF37" i="10"/>
  <c r="AE37" i="10"/>
  <c r="AD37" i="10"/>
  <c r="AR37" i="10"/>
  <c r="C37" i="10"/>
  <c r="P37" i="10"/>
  <c r="Q37" i="10"/>
  <c r="R37" i="10"/>
  <c r="T37" i="10"/>
  <c r="V37" i="10"/>
  <c r="W37" i="10"/>
  <c r="X37" i="10"/>
  <c r="Y37" i="10"/>
  <c r="Z37" i="10"/>
  <c r="AA37" i="10"/>
  <c r="AB37" i="10"/>
  <c r="CF37" i="10"/>
  <c r="CE37" i="10"/>
  <c r="CD37" i="10"/>
  <c r="CC37" i="10"/>
  <c r="CB37" i="10"/>
  <c r="CA37" i="10"/>
  <c r="BZ37" i="10"/>
  <c r="BY37" i="10"/>
  <c r="BX37" i="10"/>
  <c r="BW37" i="10"/>
  <c r="BV37" i="10"/>
  <c r="BU37" i="10"/>
  <c r="BT37" i="10"/>
  <c r="BS37" i="10"/>
  <c r="BR37" i="10"/>
  <c r="BQ37" i="10"/>
  <c r="BP37" i="10"/>
  <c r="BO37" i="10"/>
  <c r="BN37" i="10"/>
  <c r="BM37" i="10"/>
  <c r="BL37" i="10"/>
  <c r="BK37" i="10"/>
  <c r="BJ37" i="10"/>
  <c r="BI37" i="10"/>
  <c r="BH37" i="10"/>
  <c r="AC37" i="10"/>
  <c r="BG37" i="10"/>
  <c r="BF37" i="10"/>
  <c r="BE37" i="10"/>
  <c r="BD37" i="10"/>
  <c r="BC37" i="10"/>
  <c r="BB37" i="10"/>
  <c r="AZ37" i="10"/>
  <c r="AY37" i="10"/>
  <c r="AX37" i="10"/>
  <c r="AW37" i="10"/>
  <c r="AV37" i="10"/>
  <c r="AR36" i="10"/>
  <c r="AQ36" i="10"/>
  <c r="AP36" i="10"/>
  <c r="AO36" i="10"/>
  <c r="AN36" i="10"/>
  <c r="AM36" i="10"/>
  <c r="AL36" i="10"/>
  <c r="AK36" i="10"/>
  <c r="AJ36" i="10"/>
  <c r="AI36" i="10"/>
  <c r="AH36" i="10"/>
  <c r="AG36" i="10"/>
  <c r="AF36" i="10"/>
  <c r="AE36" i="10"/>
  <c r="AD36" i="10"/>
  <c r="AC36" i="10"/>
  <c r="AB36" i="10"/>
  <c r="AA36" i="10"/>
  <c r="Z36" i="10"/>
  <c r="Y36" i="10"/>
  <c r="X36" i="10"/>
  <c r="W36" i="10"/>
  <c r="V36" i="10"/>
  <c r="T36" i="10"/>
  <c r="R36" i="10"/>
  <c r="Q36" i="10"/>
  <c r="P36" i="10"/>
  <c r="C36" i="10"/>
  <c r="BM36" i="10"/>
  <c r="BE36" i="10"/>
  <c r="BD36" i="10"/>
  <c r="BC36" i="10"/>
  <c r="BB36" i="10"/>
  <c r="AZ36" i="10"/>
  <c r="CF36" i="10"/>
  <c r="CE36" i="10"/>
  <c r="CD36" i="10"/>
  <c r="CC36" i="10"/>
  <c r="CB36" i="10"/>
  <c r="CA36" i="10"/>
  <c r="BZ36" i="10"/>
  <c r="BY36" i="10"/>
  <c r="BQ36" i="10"/>
  <c r="BX36" i="10"/>
  <c r="BW36" i="10"/>
  <c r="AY36" i="10"/>
  <c r="BV36" i="10"/>
  <c r="BU36" i="10"/>
  <c r="BT36" i="10"/>
  <c r="BS36" i="10"/>
  <c r="BR36" i="10"/>
  <c r="BN36" i="10"/>
  <c r="BO36" i="10"/>
  <c r="BP36" i="10"/>
  <c r="AT36" i="10"/>
  <c r="AU36" i="10"/>
  <c r="AV36" i="10"/>
  <c r="AW36" i="10"/>
  <c r="AX36" i="10"/>
  <c r="BL36" i="10"/>
  <c r="BK36" i="10"/>
  <c r="BJ36" i="10"/>
  <c r="BI36" i="10"/>
  <c r="BH36" i="10"/>
  <c r="BG36" i="10"/>
  <c r="BF36" i="10"/>
  <c r="AS36" i="10"/>
  <c r="CF35" i="10"/>
  <c r="CE35" i="10"/>
  <c r="CB35" i="10"/>
  <c r="CC35" i="10" s="1"/>
  <c r="CD35" i="10" s="1"/>
  <c r="CA35" i="10"/>
  <c r="BZ35" i="10"/>
  <c r="BY35" i="10"/>
  <c r="BX35" i="10"/>
  <c r="BU35" i="10"/>
  <c r="BV35" i="10" s="1"/>
  <c r="BW35" i="10" s="1"/>
  <c r="BT35" i="10"/>
  <c r="BS35" i="10"/>
  <c r="BQ35" i="10"/>
  <c r="BN35" i="10"/>
  <c r="BO35" i="10" s="1"/>
  <c r="BP35" i="10" s="1"/>
  <c r="BM35" i="10"/>
  <c r="BL35" i="10"/>
  <c r="BK35" i="10"/>
  <c r="BJ35" i="10"/>
  <c r="BG35" i="10"/>
  <c r="BH35" i="10" s="1"/>
  <c r="BF35" i="10"/>
  <c r="BE35" i="10"/>
  <c r="BD35" i="10"/>
  <c r="BR35" i="10"/>
  <c r="BC35" i="10"/>
  <c r="BB35" i="10"/>
  <c r="AZ35" i="10"/>
  <c r="C35" i="10"/>
  <c r="Q35" i="10"/>
  <c r="P35" i="10" s="1"/>
  <c r="G36" i="11" s="1"/>
  <c r="AD35" i="10"/>
  <c r="AE35" i="10"/>
  <c r="AF35" i="10"/>
  <c r="AG35" i="10"/>
  <c r="AH35" i="10"/>
  <c r="AI35" i="10"/>
  <c r="AJ35" i="10"/>
  <c r="AY35" i="10"/>
  <c r="AV35" i="10"/>
  <c r="AW35" i="10" s="1"/>
  <c r="AX35" i="10" s="1"/>
  <c r="AU35" i="10"/>
  <c r="AT35" i="10"/>
  <c r="V35" i="10"/>
  <c r="AS35" i="10"/>
  <c r="AR35" i="10"/>
  <c r="AO35" i="10"/>
  <c r="AP35" i="10" s="1"/>
  <c r="AQ35" i="10" s="1"/>
  <c r="AN35" i="10"/>
  <c r="AM35" i="10"/>
  <c r="AL35" i="10"/>
  <c r="AK35" i="10"/>
  <c r="W35" i="10"/>
  <c r="X35" i="10"/>
  <c r="Y35" i="10"/>
  <c r="Z35" i="10"/>
  <c r="AA35" i="10"/>
  <c r="AB35" i="10"/>
  <c r="AC35"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AW34" i="10"/>
  <c r="AX34" i="10"/>
  <c r="AY34" i="10"/>
  <c r="AZ34" i="10"/>
  <c r="BB34" i="10"/>
  <c r="BC34" i="10"/>
  <c r="BD34" i="10"/>
  <c r="BE34" i="10"/>
  <c r="BF34" i="10"/>
  <c r="BG34" i="10"/>
  <c r="BH34" i="10"/>
  <c r="BI34" i="10"/>
  <c r="BJ34" i="10"/>
  <c r="BK34" i="10"/>
  <c r="BL34" i="10"/>
  <c r="BM34" i="10"/>
  <c r="BN34" i="10"/>
  <c r="BO34" i="10"/>
  <c r="BP34" i="10"/>
  <c r="BQ34" i="10"/>
  <c r="BR34" i="10"/>
  <c r="BS34" i="10"/>
  <c r="BT34" i="10"/>
  <c r="BU34" i="10"/>
  <c r="BV34" i="10"/>
  <c r="BW34" i="10"/>
  <c r="BX34" i="10"/>
  <c r="BY34" i="10"/>
  <c r="BZ34" i="10"/>
  <c r="CA34" i="10"/>
  <c r="CB34" i="10"/>
  <c r="CE34" i="10"/>
  <c r="CF34" i="10"/>
  <c r="Q34" i="10"/>
  <c r="P34" i="10"/>
  <c r="C34" i="10"/>
  <c r="CC34" i="10"/>
  <c r="CD34" i="10" s="1"/>
  <c r="R34" i="10" s="1"/>
  <c r="BN33" i="10"/>
  <c r="BO33" i="10" s="1"/>
  <c r="BP33" i="10" s="1"/>
  <c r="BM33" i="10"/>
  <c r="BL33" i="10"/>
  <c r="BK33" i="10"/>
  <c r="BJ33" i="10"/>
  <c r="BG33" i="10"/>
  <c r="BH33" i="10" s="1"/>
  <c r="BF33" i="10"/>
  <c r="BE33" i="10"/>
  <c r="BD33" i="10"/>
  <c r="BC33" i="10"/>
  <c r="BB33" i="10"/>
  <c r="AZ33" i="10"/>
  <c r="AY33" i="10"/>
  <c r="AV33" i="10"/>
  <c r="AW33" i="10" s="1"/>
  <c r="AX33" i="10" s="1"/>
  <c r="AU33" i="10"/>
  <c r="AT33" i="10"/>
  <c r="AS33" i="10"/>
  <c r="AR33" i="10"/>
  <c r="AO33" i="10"/>
  <c r="AP33" i="10" s="1"/>
  <c r="AQ33" i="10" s="1"/>
  <c r="AN33" i="10"/>
  <c r="AM33" i="10"/>
  <c r="AL33" i="10"/>
  <c r="AK33" i="10"/>
  <c r="AH33" i="10"/>
  <c r="AI33" i="10" s="1"/>
  <c r="AJ33" i="10" s="1"/>
  <c r="AG33" i="10"/>
  <c r="AF33" i="10"/>
  <c r="AE33" i="10"/>
  <c r="AD33" i="10"/>
  <c r="BS33" i="10"/>
  <c r="BR33" i="10"/>
  <c r="BQ33" i="10"/>
  <c r="CF33" i="10"/>
  <c r="CE33" i="10"/>
  <c r="CB33" i="10"/>
  <c r="CC33" i="10" s="1"/>
  <c r="CD33" i="10" s="1"/>
  <c r="CA33" i="10"/>
  <c r="BZ33" i="10"/>
  <c r="BY33" i="10"/>
  <c r="BX33" i="10"/>
  <c r="BU33" i="10"/>
  <c r="BV33" i="10" s="1"/>
  <c r="BW33" i="10" s="1"/>
  <c r="C33" i="10"/>
  <c r="Q33" i="10"/>
  <c r="P33" i="10" s="1"/>
  <c r="G34" i="11" s="1"/>
  <c r="V33" i="10"/>
  <c r="W33" i="10"/>
  <c r="X33" i="10"/>
  <c r="Y33" i="10"/>
  <c r="Z33" i="10"/>
  <c r="AA33" i="10"/>
  <c r="AB33" i="10" s="1"/>
  <c r="AC33" i="10" s="1"/>
  <c r="BT33" i="10"/>
  <c r="AK32" i="10"/>
  <c r="AH32" i="10"/>
  <c r="AI32" i="10" s="1"/>
  <c r="AJ32" i="10" s="1"/>
  <c r="AG32" i="10"/>
  <c r="AF32" i="10"/>
  <c r="AE32" i="10"/>
  <c r="AD32" i="10"/>
  <c r="AA32" i="10"/>
  <c r="AB32" i="10" s="1"/>
  <c r="AC32" i="10" s="1"/>
  <c r="Z32" i="10"/>
  <c r="Y32" i="10"/>
  <c r="X32" i="10"/>
  <c r="W32" i="10"/>
  <c r="V32" i="10"/>
  <c r="Q32" i="10"/>
  <c r="P32" i="10"/>
  <c r="C32" i="10"/>
  <c r="CF32" i="10"/>
  <c r="CE32" i="10"/>
  <c r="CB32" i="10"/>
  <c r="CC32" i="10" s="1"/>
  <c r="CD32" i="10" s="1"/>
  <c r="CA32" i="10"/>
  <c r="BZ32" i="10"/>
  <c r="BY32" i="10"/>
  <c r="BX32" i="10"/>
  <c r="BU32" i="10"/>
  <c r="BV32" i="10" s="1"/>
  <c r="BW32" i="10" s="1"/>
  <c r="BT32" i="10"/>
  <c r="BS32" i="10"/>
  <c r="BR32" i="10"/>
  <c r="BQ32" i="10"/>
  <c r="BN32" i="10"/>
  <c r="BO32" i="10" s="1"/>
  <c r="BP32" i="10" s="1"/>
  <c r="BM32" i="10"/>
  <c r="BL32" i="10"/>
  <c r="BK32" i="10"/>
  <c r="BJ32" i="10"/>
  <c r="BG32" i="10"/>
  <c r="BH32" i="10" s="1"/>
  <c r="BI32" i="10" s="1"/>
  <c r="BF32" i="10"/>
  <c r="BE32" i="10"/>
  <c r="BD32" i="10"/>
  <c r="BC32" i="10"/>
  <c r="BB32" i="10"/>
  <c r="AZ32" i="10"/>
  <c r="AY32" i="10"/>
  <c r="AV32" i="10"/>
  <c r="AW32" i="10" s="1"/>
  <c r="AX32" i="10" s="1"/>
  <c r="AU32" i="10"/>
  <c r="AT32" i="10"/>
  <c r="AS32" i="10"/>
  <c r="AR32" i="10"/>
  <c r="AO32" i="10"/>
  <c r="AP32" i="10" s="1"/>
  <c r="AQ32" i="10" s="1"/>
  <c r="AN32" i="10"/>
  <c r="AM32" i="10"/>
  <c r="AL32" i="10"/>
  <c r="BF31" i="10"/>
  <c r="BE31" i="10"/>
  <c r="BD31" i="10"/>
  <c r="BC31" i="10"/>
  <c r="BB31" i="10"/>
  <c r="AZ31" i="10"/>
  <c r="AY31" i="10"/>
  <c r="AV31" i="10"/>
  <c r="AW31" i="10" s="1"/>
  <c r="AX31" i="10" s="1"/>
  <c r="AU31" i="10"/>
  <c r="AT31" i="10"/>
  <c r="AS31" i="10"/>
  <c r="AR31" i="10"/>
  <c r="AK31" i="10"/>
  <c r="AO31" i="10"/>
  <c r="AP31" i="10" s="1"/>
  <c r="AQ31" i="10" s="1"/>
  <c r="AN31" i="10"/>
  <c r="AM31" i="10"/>
  <c r="CF31" i="10"/>
  <c r="CE31" i="10"/>
  <c r="CB31" i="10"/>
  <c r="CC31" i="10" s="1"/>
  <c r="CD31" i="10" s="1"/>
  <c r="CA31" i="10"/>
  <c r="BZ31" i="10"/>
  <c r="BY31" i="10"/>
  <c r="BX31" i="10"/>
  <c r="AL31" i="10"/>
  <c r="BQ31" i="10"/>
  <c r="BR31" i="10" s="1"/>
  <c r="BS31" i="10" s="1"/>
  <c r="BT31" i="10" s="1"/>
  <c r="BU31" i="10" s="1"/>
  <c r="BV31" i="10" s="1"/>
  <c r="BW31" i="10" s="1"/>
  <c r="BN31" i="10"/>
  <c r="BO31" i="10" s="1"/>
  <c r="BP31" i="10" s="1"/>
  <c r="BM31" i="10"/>
  <c r="BL31" i="10"/>
  <c r="BK31" i="10"/>
  <c r="BJ31" i="10"/>
  <c r="BG31" i="10"/>
  <c r="BH31" i="10" s="1"/>
  <c r="AH31" i="10"/>
  <c r="AI31" i="10" s="1"/>
  <c r="AJ31" i="10" s="1"/>
  <c r="AG31" i="10"/>
  <c r="AF31" i="10"/>
  <c r="AE31" i="10"/>
  <c r="AD31" i="10"/>
  <c r="AA31" i="10"/>
  <c r="AB31" i="10" s="1"/>
  <c r="AC31" i="10" s="1"/>
  <c r="Z31" i="10"/>
  <c r="Y31" i="10"/>
  <c r="X31" i="10"/>
  <c r="W31" i="10"/>
  <c r="V31" i="10"/>
  <c r="Q31" i="10"/>
  <c r="P31" i="10"/>
  <c r="C31" i="10"/>
  <c r="AY30" i="10"/>
  <c r="AV30" i="10"/>
  <c r="AT30" i="10"/>
  <c r="AS30" i="10"/>
  <c r="AO30" i="10"/>
  <c r="AM30" i="10"/>
  <c r="AK30" i="10"/>
  <c r="AG30" i="10"/>
  <c r="AD30" i="10"/>
  <c r="Y30" i="10"/>
  <c r="V30" i="10"/>
  <c r="Q30" i="10"/>
  <c r="BS30" i="10"/>
  <c r="BK30" i="10"/>
  <c r="BE30" i="10"/>
  <c r="BC30" i="10"/>
  <c r="BN30" i="10"/>
  <c r="CF30" i="10"/>
  <c r="CE30" i="10"/>
  <c r="CB30" i="10"/>
  <c r="CC30" i="10" s="1"/>
  <c r="CD30" i="10" s="1"/>
  <c r="CA30" i="10"/>
  <c r="BZ30" i="10"/>
  <c r="BY30" i="10"/>
  <c r="BX30" i="10"/>
  <c r="BU30" i="10"/>
  <c r="BV30" i="10" s="1"/>
  <c r="BW30" i="10" s="1"/>
  <c r="BT30" i="10"/>
  <c r="BR30" i="10"/>
  <c r="BQ30" i="10"/>
  <c r="BO30" i="10"/>
  <c r="BP30" i="10" s="1"/>
  <c r="BM30" i="10"/>
  <c r="BL30" i="10"/>
  <c r="BJ30" i="10"/>
  <c r="BG30" i="10"/>
  <c r="BH30" i="10" s="1"/>
  <c r="BF30" i="10"/>
  <c r="BD30" i="10"/>
  <c r="BB30" i="10"/>
  <c r="AZ30" i="10"/>
  <c r="AW30" i="10"/>
  <c r="AX30" i="10" s="1"/>
  <c r="AU30" i="10"/>
  <c r="AR30" i="10"/>
  <c r="AP30" i="10"/>
  <c r="AQ30" i="10" s="1"/>
  <c r="AN30" i="10"/>
  <c r="AL30" i="10"/>
  <c r="AH30" i="10"/>
  <c r="AI30" i="10" s="1"/>
  <c r="AJ30" i="10" s="1"/>
  <c r="AF30" i="10"/>
  <c r="AE30" i="10"/>
  <c r="AA30" i="10"/>
  <c r="AB30" i="10" s="1"/>
  <c r="AC30" i="10" s="1"/>
  <c r="Z30" i="10"/>
  <c r="X30" i="10"/>
  <c r="W30" i="10"/>
  <c r="P30" i="10"/>
  <c r="C30" i="10"/>
  <c r="AZ29" i="10"/>
  <c r="AV29" i="10"/>
  <c r="AW29" i="10" s="1"/>
  <c r="AX29" i="10" s="1"/>
  <c r="AR29" i="10"/>
  <c r="AP29" i="10"/>
  <c r="AQ29" i="10" s="1"/>
  <c r="AN29" i="10"/>
  <c r="AL29" i="10"/>
  <c r="AH29" i="10"/>
  <c r="AI29" i="10" s="1"/>
  <c r="AJ29" i="10" s="1"/>
  <c r="AF29" i="10"/>
  <c r="W29" i="10"/>
  <c r="P29" i="10"/>
  <c r="BD29" i="10"/>
  <c r="BN29" i="10"/>
  <c r="BK29" i="10"/>
  <c r="BG29" i="10"/>
  <c r="CF29" i="10"/>
  <c r="CE29" i="10"/>
  <c r="CB29" i="10"/>
  <c r="CC29" i="10" s="1"/>
  <c r="CD29" i="10" s="1"/>
  <c r="CA29" i="10"/>
  <c r="BZ29" i="10"/>
  <c r="BY29" i="10"/>
  <c r="BX29" i="10"/>
  <c r="BU29" i="10"/>
  <c r="BV29" i="10" s="1"/>
  <c r="BW29" i="10" s="1"/>
  <c r="BT29" i="10"/>
  <c r="BS29" i="10"/>
  <c r="BR29" i="10"/>
  <c r="BQ29" i="10"/>
  <c r="BO29" i="10"/>
  <c r="BP29" i="10" s="1"/>
  <c r="BM29" i="10"/>
  <c r="BL29" i="10"/>
  <c r="BJ29" i="10"/>
  <c r="BH29" i="10"/>
  <c r="BI29" i="10" s="1"/>
  <c r="BF29" i="10"/>
  <c r="BE29" i="10"/>
  <c r="BC29" i="10"/>
  <c r="BB29" i="10"/>
  <c r="AY29" i="10"/>
  <c r="AU29" i="10"/>
  <c r="AT29" i="10"/>
  <c r="AS29" i="10"/>
  <c r="AO29" i="10"/>
  <c r="AM29" i="10"/>
  <c r="AK29" i="10"/>
  <c r="AG29" i="10"/>
  <c r="AE29" i="10"/>
  <c r="AD29" i="10"/>
  <c r="AA29" i="10"/>
  <c r="AB29" i="10" s="1"/>
  <c r="AC29" i="10" s="1"/>
  <c r="Z29" i="10"/>
  <c r="Y29" i="10"/>
  <c r="X29" i="10"/>
  <c r="V29" i="10"/>
  <c r="Q29" i="10"/>
  <c r="C29" i="10"/>
  <c r="AE28" i="10"/>
  <c r="BX28" i="10"/>
  <c r="AF28" i="10"/>
  <c r="CF28" i="10"/>
  <c r="X28" i="10"/>
  <c r="Z28" i="10"/>
  <c r="AN28" i="10"/>
  <c r="AD28" i="10"/>
  <c r="AG28" i="10"/>
  <c r="AA28" i="10"/>
  <c r="AB28" i="10" s="1"/>
  <c r="AC28" i="10" s="1"/>
  <c r="AT28" i="10"/>
  <c r="AY28" i="10"/>
  <c r="BB28" i="10"/>
  <c r="BE28" i="10"/>
  <c r="BK28" i="10"/>
  <c r="BM28" i="10"/>
  <c r="BQ28" i="10"/>
  <c r="BS28" i="10"/>
  <c r="BU28" i="10"/>
  <c r="BY28" i="10"/>
  <c r="AH28" i="10"/>
  <c r="AI28" i="10"/>
  <c r="AJ28" i="10" s="1"/>
  <c r="AK28" i="10"/>
  <c r="AL28" i="10"/>
  <c r="AM28" i="10"/>
  <c r="AO28" i="10"/>
  <c r="AP28" i="10"/>
  <c r="AQ28" i="10" s="1"/>
  <c r="AR28" i="10"/>
  <c r="AS28" i="10"/>
  <c r="AU28" i="10"/>
  <c r="AV28" i="10"/>
  <c r="AW28" i="10" s="1"/>
  <c r="AX28" i="10" s="1"/>
  <c r="AZ28" i="10"/>
  <c r="BC28" i="10"/>
  <c r="BD28" i="10"/>
  <c r="BF28" i="10"/>
  <c r="BG28" i="10"/>
  <c r="BH28" i="10"/>
  <c r="BI28" i="10" s="1"/>
  <c r="BJ28" i="10"/>
  <c r="BL28" i="10"/>
  <c r="BN28" i="10"/>
  <c r="BO28" i="10" s="1"/>
  <c r="BP28" i="10" s="1"/>
  <c r="BR28" i="10"/>
  <c r="BT28" i="10"/>
  <c r="BV28" i="10"/>
  <c r="BW28" i="10"/>
  <c r="BZ28" i="10"/>
  <c r="CA28" i="10"/>
  <c r="CB28" i="10"/>
  <c r="CC28" i="10"/>
  <c r="CD28" i="10"/>
  <c r="CE28" i="10"/>
  <c r="Y28" i="10"/>
  <c r="W28" i="10"/>
  <c r="V28" i="10"/>
  <c r="Q28" i="10"/>
  <c r="P28" i="10"/>
  <c r="C28" i="10"/>
  <c r="AA27" i="10"/>
  <c r="AB27" i="10" s="1"/>
  <c r="AC27" i="10" s="1"/>
  <c r="Z27" i="10"/>
  <c r="Y27" i="10"/>
  <c r="X27" i="10"/>
  <c r="W27" i="10"/>
  <c r="V27" i="10"/>
  <c r="Q27" i="10"/>
  <c r="P27" i="10"/>
  <c r="C12" i="15" s="1"/>
  <c r="C27" i="10"/>
  <c r="AE27" i="10"/>
  <c r="AF27" i="10"/>
  <c r="AG27" i="10"/>
  <c r="CA27" i="10"/>
  <c r="CB27" i="10" s="1"/>
  <c r="CC27" i="10" s="1"/>
  <c r="CD27" i="10" s="1"/>
  <c r="AH27" i="10"/>
  <c r="AI27" i="10"/>
  <c r="AJ27" i="10"/>
  <c r="AK27" i="10"/>
  <c r="AL27" i="10"/>
  <c r="AM27" i="10"/>
  <c r="AN27" i="10"/>
  <c r="AO27" i="10"/>
  <c r="AP27" i="10"/>
  <c r="AQ27" i="10"/>
  <c r="AR27" i="10"/>
  <c r="AS27" i="10"/>
  <c r="AT27" i="10"/>
  <c r="AU27" i="10"/>
  <c r="AV27" i="10"/>
  <c r="AW27" i="10"/>
  <c r="AX27" i="10"/>
  <c r="AY27" i="10"/>
  <c r="AZ27" i="10"/>
  <c r="BB27" i="10"/>
  <c r="BC27" i="10"/>
  <c r="BD27" i="10"/>
  <c r="BE27" i="10"/>
  <c r="BF27" i="10"/>
  <c r="BG27" i="10"/>
  <c r="BH27" i="10"/>
  <c r="BI27" i="10"/>
  <c r="BJ27" i="10"/>
  <c r="BK27" i="10" s="1"/>
  <c r="BL27" i="10" s="1"/>
  <c r="BM27" i="10" s="1"/>
  <c r="BN27" i="10" s="1"/>
  <c r="BO27" i="10" s="1"/>
  <c r="BP27" i="10" s="1"/>
  <c r="BQ27" i="10" s="1"/>
  <c r="BR27" i="10" s="1"/>
  <c r="BS27" i="10" s="1"/>
  <c r="BT27" i="10" s="1"/>
  <c r="BU27" i="10" s="1"/>
  <c r="BV27" i="10" s="1"/>
  <c r="BW27" i="10" s="1"/>
  <c r="BX27" i="10" s="1"/>
  <c r="BY27" i="10" s="1"/>
  <c r="BZ27" i="10" s="1"/>
  <c r="AD27" i="10"/>
  <c r="CF27" i="10"/>
  <c r="CE27" i="10"/>
  <c r="AE26" i="10"/>
  <c r="AF26" i="10"/>
  <c r="AG26" i="10"/>
  <c r="AH26" i="10"/>
  <c r="AI26" i="10"/>
  <c r="AJ26" i="10"/>
  <c r="AK26" i="10"/>
  <c r="AL26" i="10"/>
  <c r="AM26" i="10"/>
  <c r="AN26" i="10"/>
  <c r="AO26" i="10"/>
  <c r="AP26" i="10"/>
  <c r="AQ26" i="10"/>
  <c r="AR26" i="10"/>
  <c r="AT26" i="10"/>
  <c r="AU26" i="10"/>
  <c r="AV26" i="10"/>
  <c r="AW26" i="10"/>
  <c r="AX26" i="10"/>
  <c r="AY26" i="10"/>
  <c r="AZ26" i="10"/>
  <c r="BB26" i="10"/>
  <c r="BC26" i="10"/>
  <c r="BD26" i="10"/>
  <c r="BE26" i="10"/>
  <c r="BF26" i="10"/>
  <c r="BK26" i="10"/>
  <c r="BQ26" i="10"/>
  <c r="BU26" i="10"/>
  <c r="BX26" i="10"/>
  <c r="CB26" i="10"/>
  <c r="AS26" i="10"/>
  <c r="C26" i="10"/>
  <c r="V26" i="10"/>
  <c r="X26" i="10"/>
  <c r="Z26" i="10"/>
  <c r="AA26" i="10"/>
  <c r="AB26" i="10"/>
  <c r="AC26" i="10"/>
  <c r="AD26" i="10"/>
  <c r="CF26" i="10"/>
  <c r="CE26" i="10"/>
  <c r="CC26" i="10"/>
  <c r="CD26" i="10" s="1"/>
  <c r="CA26" i="10"/>
  <c r="BZ26" i="10"/>
  <c r="BY26" i="10"/>
  <c r="BV26" i="10"/>
  <c r="BW26" i="10" s="1"/>
  <c r="BT26" i="10"/>
  <c r="BS26" i="10"/>
  <c r="BR26" i="10"/>
  <c r="BN26" i="10"/>
  <c r="BO26" i="10" s="1"/>
  <c r="BP26" i="10" s="1"/>
  <c r="BM26" i="10"/>
  <c r="BL26" i="10"/>
  <c r="BJ26" i="10"/>
  <c r="BG26" i="10"/>
  <c r="Y26" i="10"/>
  <c r="W26" i="10"/>
  <c r="Q26" i="10"/>
  <c r="P26" i="10"/>
  <c r="BF25" i="10"/>
  <c r="BD25" i="10"/>
  <c r="AZ25" i="10"/>
  <c r="AV25" i="10"/>
  <c r="AE25" i="10"/>
  <c r="AT25" i="10"/>
  <c r="Z25" i="10"/>
  <c r="X25" i="10"/>
  <c r="V25" i="10"/>
  <c r="CB25" i="10"/>
  <c r="BZ25" i="10"/>
  <c r="BU25" i="10"/>
  <c r="W25" i="10"/>
  <c r="CF25" i="10"/>
  <c r="CE25" i="10"/>
  <c r="BX25" i="10"/>
  <c r="BV25" i="10"/>
  <c r="BT25" i="10"/>
  <c r="BR25" i="10"/>
  <c r="BN25" i="10"/>
  <c r="BK25" i="10"/>
  <c r="CC25" i="10"/>
  <c r="CD25" i="10" s="1"/>
  <c r="CA25" i="10"/>
  <c r="BY25" i="10"/>
  <c r="BW25" i="10"/>
  <c r="BS25" i="10"/>
  <c r="BQ25" i="10"/>
  <c r="BO25" i="10"/>
  <c r="BP25" i="10" s="1"/>
  <c r="BM25" i="10"/>
  <c r="BL25" i="10"/>
  <c r="BJ25" i="10"/>
  <c r="BG25" i="10"/>
  <c r="BH25" i="10" s="1"/>
  <c r="BI25" i="10" s="1"/>
  <c r="BE25" i="10"/>
  <c r="BC25" i="10"/>
  <c r="BB25" i="10"/>
  <c r="R25" i="10" s="1"/>
  <c r="AY25" i="10"/>
  <c r="AW25" i="10"/>
  <c r="AX25" i="10" s="1"/>
  <c r="AU25" i="10"/>
  <c r="AS25" i="10"/>
  <c r="AR25" i="10"/>
  <c r="AO25" i="10"/>
  <c r="AP25" i="10" s="1"/>
  <c r="AQ25" i="10" s="1"/>
  <c r="AN25" i="10"/>
  <c r="AM25" i="10"/>
  <c r="AL25" i="10"/>
  <c r="AK25" i="10"/>
  <c r="AH25" i="10"/>
  <c r="AI25" i="10" s="1"/>
  <c r="AJ25" i="10" s="1"/>
  <c r="AG25" i="10"/>
  <c r="AF25" i="10"/>
  <c r="AD25" i="10"/>
  <c r="AA25" i="10"/>
  <c r="AB25" i="10" s="1"/>
  <c r="AC25" i="10" s="1"/>
  <c r="Y25" i="10"/>
  <c r="Q25" i="10"/>
  <c r="P25" i="10" s="1"/>
  <c r="G26" i="11" s="1"/>
  <c r="C25" i="10"/>
  <c r="BY24" i="10"/>
  <c r="W24" i="10"/>
  <c r="Q24" i="10"/>
  <c r="C24" i="10"/>
  <c r="CF24" i="10"/>
  <c r="CE24" i="10"/>
  <c r="BU24" i="10"/>
  <c r="BS24" i="10"/>
  <c r="BQ24" i="10"/>
  <c r="BM24" i="10"/>
  <c r="BK24" i="10"/>
  <c r="BD24" i="10"/>
  <c r="Y24" i="10"/>
  <c r="AZ24" i="10"/>
  <c r="AT24" i="10"/>
  <c r="AR24" i="10"/>
  <c r="AN24" i="10"/>
  <c r="AG24" i="10"/>
  <c r="AD24" i="10"/>
  <c r="Z24" i="10"/>
  <c r="X24" i="10"/>
  <c r="V24" i="10"/>
  <c r="P24" i="10"/>
  <c r="BG24" i="10"/>
  <c r="BH24" i="10" s="1"/>
  <c r="BI24" i="10" s="1"/>
  <c r="BF24" i="10"/>
  <c r="BE24" i="10"/>
  <c r="BC24" i="10"/>
  <c r="BB24" i="10"/>
  <c r="AV24" i="10"/>
  <c r="AW24" i="10" s="1"/>
  <c r="AX24" i="10" s="1"/>
  <c r="AU24" i="10"/>
  <c r="AS24" i="10"/>
  <c r="AO24" i="10"/>
  <c r="AP24" i="10" s="1"/>
  <c r="AQ24" i="10" s="1"/>
  <c r="AM24" i="10"/>
  <c r="AL24" i="10"/>
  <c r="AK24" i="10"/>
  <c r="AH24" i="10"/>
  <c r="AI24" i="10" s="1"/>
  <c r="AJ24" i="10" s="1"/>
  <c r="AF24" i="10"/>
  <c r="AY24" i="10"/>
  <c r="AE24" i="10"/>
  <c r="AA24" i="10"/>
  <c r="AB24" i="10" s="1"/>
  <c r="AC24" i="10" s="1"/>
  <c r="CB24" i="10"/>
  <c r="CC24" i="10" s="1"/>
  <c r="CD24" i="10" s="1"/>
  <c r="CA24" i="10"/>
  <c r="BZ24" i="10"/>
  <c r="BX24" i="10"/>
  <c r="BV24" i="10"/>
  <c r="BW24" i="10" s="1"/>
  <c r="BT24" i="10"/>
  <c r="BR24" i="10"/>
  <c r="BN24" i="10"/>
  <c r="BO24" i="10" s="1"/>
  <c r="BP24" i="10" s="1"/>
  <c r="BL24" i="10"/>
  <c r="BJ24" i="10"/>
  <c r="AS23" i="10"/>
  <c r="AO23" i="10"/>
  <c r="AP23" i="10" s="1"/>
  <c r="AQ23" i="10" s="1"/>
  <c r="AM23" i="10"/>
  <c r="AL23" i="10"/>
  <c r="AK23" i="10"/>
  <c r="AG23" i="10"/>
  <c r="AF23" i="10"/>
  <c r="AE23" i="10"/>
  <c r="Z23" i="10"/>
  <c r="Y23" i="10"/>
  <c r="W23" i="10"/>
  <c r="V23" i="10"/>
  <c r="Q23" i="10"/>
  <c r="C23" i="10"/>
  <c r="BX23" i="10"/>
  <c r="BU23" i="10"/>
  <c r="BS23" i="10"/>
  <c r="BQ23" i="10"/>
  <c r="BM23" i="10"/>
  <c r="AZ23" i="10"/>
  <c r="AV23" i="10"/>
  <c r="AR23" i="10"/>
  <c r="AN23" i="10"/>
  <c r="AH23" i="10"/>
  <c r="AI23" i="10" s="1"/>
  <c r="AJ23" i="10" s="1"/>
  <c r="AD23" i="10"/>
  <c r="AA23" i="10"/>
  <c r="AB23" i="10" s="1"/>
  <c r="AC23" i="10" s="1"/>
  <c r="X23" i="10"/>
  <c r="P23" i="10"/>
  <c r="CE23" i="10"/>
  <c r="CF23" i="10" s="1"/>
  <c r="CA23" i="10"/>
  <c r="CB23" i="10" s="1"/>
  <c r="CC23" i="10" s="1"/>
  <c r="CD23" i="10" s="1"/>
  <c r="BZ23" i="10"/>
  <c r="BY23" i="10"/>
  <c r="BV23" i="10"/>
  <c r="BW23" i="10" s="1"/>
  <c r="BT23" i="10"/>
  <c r="BR23" i="10"/>
  <c r="BN23" i="10"/>
  <c r="BO23" i="10" s="1"/>
  <c r="BP23" i="10" s="1"/>
  <c r="BL23" i="10"/>
  <c r="BJ23" i="10"/>
  <c r="BK23" i="10" s="1"/>
  <c r="BG23" i="10"/>
  <c r="BH23" i="10" s="1"/>
  <c r="BI23" i="10" s="1"/>
  <c r="BF23" i="10"/>
  <c r="BC23" i="10"/>
  <c r="BD23" i="10" s="1"/>
  <c r="BE23" i="10" s="1"/>
  <c r="BB23" i="10"/>
  <c r="R23" i="10" s="1"/>
  <c r="AY23" i="10"/>
  <c r="AW23" i="10"/>
  <c r="AX23" i="10" s="1"/>
  <c r="AU23" i="10"/>
  <c r="AT23" i="10"/>
  <c r="Z22" i="10"/>
  <c r="AA22" i="10"/>
  <c r="AB22" i="10"/>
  <c r="AC22" i="10" s="1"/>
  <c r="Y22" i="10"/>
  <c r="C22" i="10"/>
  <c r="Q22" i="10"/>
  <c r="P22" i="10" s="1"/>
  <c r="R22" i="10"/>
  <c r="V22" i="10"/>
  <c r="W22" i="10"/>
  <c r="X22" i="10"/>
  <c r="Y21" i="10"/>
  <c r="Z21" i="10"/>
  <c r="AA21" i="10"/>
  <c r="AB21" i="10"/>
  <c r="AC21" i="10"/>
  <c r="AD21" i="10"/>
  <c r="AE21" i="10"/>
  <c r="AF21" i="10"/>
  <c r="AG21" i="10"/>
  <c r="AH21" i="10"/>
  <c r="AI21" i="10"/>
  <c r="AJ21" i="10"/>
  <c r="AK21" i="10"/>
  <c r="AL21" i="10"/>
  <c r="AM21" i="10"/>
  <c r="AN21" i="10"/>
  <c r="AO21" i="10"/>
  <c r="AP21" i="10"/>
  <c r="AQ21" i="10"/>
  <c r="AR21" i="10"/>
  <c r="AS21" i="10"/>
  <c r="AT21" i="10"/>
  <c r="AU21" i="10"/>
  <c r="AV21" i="10"/>
  <c r="AW21" i="10"/>
  <c r="AY21" i="10"/>
  <c r="AZ21" i="10"/>
  <c r="BB21" i="10"/>
  <c r="BC21" i="10"/>
  <c r="BD21" i="10"/>
  <c r="BE21" i="10"/>
  <c r="BF21" i="10"/>
  <c r="BG21" i="10"/>
  <c r="BH21" i="10"/>
  <c r="BI21" i="10"/>
  <c r="BJ21" i="10"/>
  <c r="BL21" i="10"/>
  <c r="BM21" i="10"/>
  <c r="BN21" i="10"/>
  <c r="BO21" i="10"/>
  <c r="BP21" i="10"/>
  <c r="BQ21" i="10"/>
  <c r="BR21" i="10"/>
  <c r="BS21" i="10"/>
  <c r="BT21" i="10"/>
  <c r="BU21" i="10"/>
  <c r="BK21" i="10"/>
  <c r="BX21" i="10"/>
  <c r="BY21" i="10"/>
  <c r="AX21" i="10"/>
  <c r="BZ21" i="10"/>
  <c r="CA21" i="10"/>
  <c r="CB21" i="10"/>
  <c r="CC21" i="10"/>
  <c r="CD21" i="10"/>
  <c r="BV21" i="10"/>
  <c r="BW21" i="10" s="1"/>
  <c r="R21" i="10" s="1"/>
  <c r="CF21" i="10"/>
  <c r="C21" i="10"/>
  <c r="Q21" i="10"/>
  <c r="P21" i="10" s="1"/>
  <c r="G22" i="11" s="1"/>
  <c r="V21" i="10"/>
  <c r="W21" i="10"/>
  <c r="X21" i="10"/>
  <c r="CE21" i="10"/>
  <c r="BX20" i="10"/>
  <c r="BY20" i="10"/>
  <c r="BZ20" i="10"/>
  <c r="CA20" i="10"/>
  <c r="CB20" i="10"/>
  <c r="CC20" i="10"/>
  <c r="CD20" i="10"/>
  <c r="CE20" i="10"/>
  <c r="CF20" i="10"/>
  <c r="BM20" i="10"/>
  <c r="BL20" i="10"/>
  <c r="BK20" i="10"/>
  <c r="BJ20" i="10"/>
  <c r="BG20" i="10"/>
  <c r="BH20" i="10" s="1"/>
  <c r="BF20" i="10"/>
  <c r="BE20" i="10"/>
  <c r="BD20" i="10"/>
  <c r="BC20" i="10"/>
  <c r="BB20" i="10"/>
  <c r="AZ20" i="10"/>
  <c r="AY20" i="10"/>
  <c r="AV20" i="10"/>
  <c r="AW20" i="10" s="1"/>
  <c r="AX20" i="10" s="1"/>
  <c r="AU20" i="10"/>
  <c r="AT20" i="10"/>
  <c r="AS20" i="10"/>
  <c r="AR20" i="10"/>
  <c r="AO20" i="10"/>
  <c r="AP20" i="10" s="1"/>
  <c r="AQ20" i="10" s="1"/>
  <c r="AN20" i="10"/>
  <c r="AM20" i="10"/>
  <c r="AL20" i="10"/>
  <c r="AK20" i="10"/>
  <c r="AH20" i="10"/>
  <c r="AI20" i="10" s="1"/>
  <c r="AJ20" i="10" s="1"/>
  <c r="AF20" i="10"/>
  <c r="AE20" i="10"/>
  <c r="AD20" i="10"/>
  <c r="AA20" i="10"/>
  <c r="AB20" i="10" s="1"/>
  <c r="AC20" i="10" s="1"/>
  <c r="Z20" i="10"/>
  <c r="Y20" i="10"/>
  <c r="X20" i="10"/>
  <c r="W20" i="10"/>
  <c r="V20" i="10"/>
  <c r="Q20" i="10"/>
  <c r="P20" i="10"/>
  <c r="C20" i="10"/>
  <c r="AG20" i="10"/>
  <c r="BU20" i="10"/>
  <c r="BV20" i="10" s="1"/>
  <c r="BW20" i="10" s="1"/>
  <c r="BT20" i="10"/>
  <c r="BS20" i="10"/>
  <c r="BR20" i="10"/>
  <c r="BQ20" i="10"/>
  <c r="BN20" i="10"/>
  <c r="BO20" i="10" s="1"/>
  <c r="BP20" i="10" s="1"/>
  <c r="AF19" i="10"/>
  <c r="BL19" i="10"/>
  <c r="BK19" i="10"/>
  <c r="BJ19" i="10"/>
  <c r="V19" i="10"/>
  <c r="W19" i="10"/>
  <c r="X19" i="10"/>
  <c r="Y19" i="10"/>
  <c r="Z19" i="10"/>
  <c r="AA19" i="10"/>
  <c r="AB19" i="10"/>
  <c r="Q19" i="10"/>
  <c r="AC19" i="10"/>
  <c r="AD19" i="10"/>
  <c r="AE19" i="10"/>
  <c r="BF19" i="10"/>
  <c r="BE19" i="10"/>
  <c r="BD19" i="10"/>
  <c r="BC19" i="10"/>
  <c r="BB19" i="10"/>
  <c r="AZ19" i="10"/>
  <c r="AY19" i="10"/>
  <c r="BM19" i="10"/>
  <c r="AV19" i="10"/>
  <c r="AW19" i="10" s="1"/>
  <c r="AX19" i="10" s="1"/>
  <c r="AU19" i="10"/>
  <c r="AT19" i="10"/>
  <c r="AS19" i="10"/>
  <c r="AR19" i="10"/>
  <c r="AO19" i="10"/>
  <c r="AP19" i="10" s="1"/>
  <c r="AQ19" i="10" s="1"/>
  <c r="CF19" i="10"/>
  <c r="CE19" i="10"/>
  <c r="CB19" i="10"/>
  <c r="CC19" i="10" s="1"/>
  <c r="CD19" i="10" s="1"/>
  <c r="CA19" i="10"/>
  <c r="BZ19" i="10"/>
  <c r="BY19" i="10"/>
  <c r="BG19" i="10"/>
  <c r="BH19" i="10" s="1"/>
  <c r="BI19" i="10" s="1"/>
  <c r="BX19" i="10"/>
  <c r="AN19" i="10"/>
  <c r="AM19" i="10"/>
  <c r="AL19" i="10"/>
  <c r="AK19" i="10"/>
  <c r="AH19" i="10"/>
  <c r="AI19" i="10" s="1"/>
  <c r="AJ19" i="10" s="1"/>
  <c r="AG19" i="10"/>
  <c r="BU19" i="10"/>
  <c r="BV19" i="10" s="1"/>
  <c r="BW19" i="10" s="1"/>
  <c r="BT19" i="10"/>
  <c r="BS19" i="10"/>
  <c r="BR19" i="10"/>
  <c r="BQ19" i="10"/>
  <c r="BN19" i="10"/>
  <c r="BO19" i="10" s="1"/>
  <c r="BP19" i="10" s="1"/>
  <c r="C19" i="10"/>
  <c r="P19" i="10"/>
  <c r="AK18" i="10"/>
  <c r="AL18" i="10"/>
  <c r="AM18" i="10"/>
  <c r="AN18" i="10"/>
  <c r="AO18" i="10"/>
  <c r="AP18" i="10"/>
  <c r="AQ18" i="10"/>
  <c r="AR18" i="10"/>
  <c r="AS18" i="10"/>
  <c r="AU18" i="10"/>
  <c r="AV18" i="10"/>
  <c r="AW18" i="10"/>
  <c r="AX18" i="10"/>
  <c r="AY18" i="10"/>
  <c r="AZ18" i="10"/>
  <c r="BB18" i="10"/>
  <c r="BC18" i="10"/>
  <c r="BD18" i="10"/>
  <c r="BE18" i="10"/>
  <c r="BF18" i="10"/>
  <c r="BG18" i="10"/>
  <c r="BH18" i="10" s="1"/>
  <c r="BJ18" i="10"/>
  <c r="BK18" i="10"/>
  <c r="BL18" i="10"/>
  <c r="BM18" i="10"/>
  <c r="BN18" i="10"/>
  <c r="BO18" i="10"/>
  <c r="BP18" i="10" s="1"/>
  <c r="BQ18" i="10"/>
  <c r="BR18" i="10"/>
  <c r="BS18" i="10"/>
  <c r="BT18" i="10"/>
  <c r="BU18" i="10"/>
  <c r="BV18" i="10"/>
  <c r="BW18" i="10" s="1"/>
  <c r="BX18" i="10"/>
  <c r="AH18" i="10"/>
  <c r="AI18" i="10"/>
  <c r="AJ18" i="10" s="1"/>
  <c r="BZ18" i="10"/>
  <c r="CA18" i="10"/>
  <c r="CB18" i="10"/>
  <c r="CC18" i="10"/>
  <c r="CD18" i="10"/>
  <c r="CE18" i="10"/>
  <c r="CF18" i="10"/>
  <c r="C18" i="10"/>
  <c r="BY18" i="10"/>
  <c r="AT18" i="10"/>
  <c r="P18" i="10"/>
  <c r="Q18" i="10"/>
  <c r="V18" i="10"/>
  <c r="W18" i="10"/>
  <c r="X18" i="10"/>
  <c r="Y18" i="10"/>
  <c r="Z18" i="10"/>
  <c r="AA18" i="10"/>
  <c r="AB18" i="10" s="1"/>
  <c r="AC18" i="10" s="1"/>
  <c r="AD18" i="10"/>
  <c r="AE18" i="10"/>
  <c r="AF18" i="10"/>
  <c r="AG18" i="10"/>
  <c r="Z17" i="10"/>
  <c r="AA17" i="10"/>
  <c r="AB17" i="10"/>
  <c r="AC17" i="10"/>
  <c r="AD17" i="10"/>
  <c r="AE17" i="10"/>
  <c r="AF17" i="10"/>
  <c r="AG17" i="10"/>
  <c r="AH17" i="10"/>
  <c r="AI17" i="10"/>
  <c r="AJ17" i="10" s="1"/>
  <c r="AK17" i="10"/>
  <c r="AL17" i="10"/>
  <c r="AM17" i="10"/>
  <c r="AN17" i="10"/>
  <c r="AO17" i="10"/>
  <c r="AP17" i="10"/>
  <c r="AQ17" i="10"/>
  <c r="AR17" i="10"/>
  <c r="AS17" i="10"/>
  <c r="AT17" i="10"/>
  <c r="AU17" i="10"/>
  <c r="AV17" i="10"/>
  <c r="AW17" i="10" s="1"/>
  <c r="AX17" i="10" s="1"/>
  <c r="AY17" i="10"/>
  <c r="AZ17" i="10"/>
  <c r="BB17" i="10"/>
  <c r="BC17" i="10"/>
  <c r="BD17" i="10"/>
  <c r="BF17" i="10"/>
  <c r="BG17" i="10"/>
  <c r="BH17" i="10"/>
  <c r="BI17" i="10"/>
  <c r="BJ17" i="10"/>
  <c r="BK17" i="10"/>
  <c r="BL17" i="10"/>
  <c r="BM17" i="10"/>
  <c r="BN17" i="10"/>
  <c r="BO17" i="10"/>
  <c r="BP17" i="10" s="1"/>
  <c r="BQ17" i="10"/>
  <c r="BR17" i="10"/>
  <c r="BS17" i="10"/>
  <c r="BT17" i="10"/>
  <c r="BU17" i="10"/>
  <c r="BV17" i="10"/>
  <c r="BW17" i="10" s="1"/>
  <c r="BX17" i="10"/>
  <c r="BY17" i="10"/>
  <c r="BZ17" i="10"/>
  <c r="CA17" i="10"/>
  <c r="CB17" i="10"/>
  <c r="CC17" i="10"/>
  <c r="CD17" i="10"/>
  <c r="CE17" i="10"/>
  <c r="CF17" i="10"/>
  <c r="C17" i="10"/>
  <c r="P17" i="10"/>
  <c r="Q17" i="10"/>
  <c r="V17" i="10"/>
  <c r="W17" i="10"/>
  <c r="X17" i="10"/>
  <c r="BE17" i="10" s="1"/>
  <c r="R17" i="10" s="1"/>
  <c r="Y17" i="10"/>
  <c r="W16" i="10"/>
  <c r="X16" i="10"/>
  <c r="Y16" i="10"/>
  <c r="Z16" i="10"/>
  <c r="AA16" i="10"/>
  <c r="AB16" i="10"/>
  <c r="AC16" i="10" s="1"/>
  <c r="AD16" i="10"/>
  <c r="AE16" i="10"/>
  <c r="AF16" i="10"/>
  <c r="AG16" i="10"/>
  <c r="AH16" i="10"/>
  <c r="AI16" i="10"/>
  <c r="AJ16" i="10"/>
  <c r="AK16" i="10"/>
  <c r="AL16" i="10"/>
  <c r="AM16" i="10"/>
  <c r="AN16" i="10"/>
  <c r="AO16" i="10"/>
  <c r="AP16" i="10"/>
  <c r="BD16" i="10"/>
  <c r="CF16" i="10"/>
  <c r="CE16" i="10"/>
  <c r="BF16" i="10"/>
  <c r="CB16" i="10"/>
  <c r="CC16" i="10" s="1"/>
  <c r="CD16" i="10" s="1"/>
  <c r="CA16" i="10"/>
  <c r="BZ16" i="10"/>
  <c r="BY16" i="10"/>
  <c r="BX16" i="10"/>
  <c r="BU16" i="10"/>
  <c r="BV16" i="10" s="1"/>
  <c r="BW16" i="10" s="1"/>
  <c r="BT16" i="10"/>
  <c r="BS16" i="10"/>
  <c r="BR16" i="10"/>
  <c r="BQ16" i="10"/>
  <c r="BN16" i="10"/>
  <c r="BO16" i="10" s="1"/>
  <c r="BP16" i="10" s="1"/>
  <c r="BM16" i="10"/>
  <c r="BL16" i="10"/>
  <c r="BK16" i="10"/>
  <c r="BJ16" i="10"/>
  <c r="P16" i="10"/>
  <c r="Q16" i="10"/>
  <c r="BG16" i="10"/>
  <c r="BH16" i="10" s="1"/>
  <c r="BI16" i="10" s="1"/>
  <c r="V16" i="10"/>
  <c r="BE16" i="10"/>
  <c r="BC16" i="10"/>
  <c r="BB16" i="10"/>
  <c r="R16" i="10" s="1"/>
  <c r="AZ16" i="10"/>
  <c r="AY16" i="10"/>
  <c r="AV16" i="10"/>
  <c r="AW16" i="10" s="1"/>
  <c r="AX16" i="10" s="1"/>
  <c r="AU16" i="10"/>
  <c r="AT16" i="10"/>
  <c r="AS16" i="10"/>
  <c r="AR16" i="10"/>
  <c r="AQ16" i="10"/>
  <c r="C16" i="10"/>
  <c r="BG15" i="10"/>
  <c r="BH15" i="10" s="1"/>
  <c r="BF15" i="10"/>
  <c r="BE15" i="10"/>
  <c r="BD15" i="10"/>
  <c r="BC15" i="10"/>
  <c r="BB15" i="10"/>
  <c r="AZ15" i="10"/>
  <c r="AY15" i="10"/>
  <c r="AV15" i="10"/>
  <c r="AU15" i="10"/>
  <c r="AT15" i="10"/>
  <c r="AS15" i="10"/>
  <c r="AR15" i="10"/>
  <c r="AO15" i="10"/>
  <c r="AP15" i="10" s="1"/>
  <c r="AQ15" i="10" s="1"/>
  <c r="AN15" i="10"/>
  <c r="AM15" i="10"/>
  <c r="AL15" i="10"/>
  <c r="AK15" i="10"/>
  <c r="AH15" i="10"/>
  <c r="AI15" i="10" s="1"/>
  <c r="AJ15" i="10" s="1"/>
  <c r="AG15" i="10"/>
  <c r="AF15" i="10"/>
  <c r="AE15" i="10"/>
  <c r="AD15" i="10"/>
  <c r="AA15" i="10"/>
  <c r="AB15" i="10" s="1"/>
  <c r="AC15" i="10" s="1"/>
  <c r="AW15" i="10"/>
  <c r="AX15" i="10" s="1"/>
  <c r="BU15" i="10"/>
  <c r="BV15" i="10" s="1"/>
  <c r="BW15" i="10" s="1"/>
  <c r="BT15" i="10"/>
  <c r="BQ15" i="10"/>
  <c r="BS15" i="10"/>
  <c r="BR15" i="10"/>
  <c r="BN15" i="10"/>
  <c r="BO15" i="10" s="1"/>
  <c r="BP15" i="10" s="1"/>
  <c r="BM15" i="10"/>
  <c r="BL15" i="10"/>
  <c r="BK15" i="10"/>
  <c r="BJ15" i="10"/>
  <c r="CF15" i="10"/>
  <c r="CE15" i="10"/>
  <c r="CB15" i="10"/>
  <c r="CC15" i="10" s="1"/>
  <c r="CD15" i="10" s="1"/>
  <c r="CA15" i="10"/>
  <c r="BZ15" i="10"/>
  <c r="BY15" i="10"/>
  <c r="BX15" i="10"/>
  <c r="Z15" i="10"/>
  <c r="Y15" i="10"/>
  <c r="X15" i="10"/>
  <c r="W15" i="10"/>
  <c r="V15" i="10"/>
  <c r="Q15" i="10"/>
  <c r="P15" i="10"/>
  <c r="C15" i="10"/>
  <c r="CF14" i="10"/>
  <c r="CE14" i="10"/>
  <c r="CB14" i="10"/>
  <c r="CC14" i="10" s="1"/>
  <c r="CD14" i="10" s="1"/>
  <c r="CA14" i="10"/>
  <c r="BZ14" i="10"/>
  <c r="BY14" i="10"/>
  <c r="BX14" i="10"/>
  <c r="BU14" i="10"/>
  <c r="BV14" i="10" s="1"/>
  <c r="BW14" i="10" s="1"/>
  <c r="BT14" i="10"/>
  <c r="BS14" i="10"/>
  <c r="BR14" i="10"/>
  <c r="BQ14" i="10"/>
  <c r="BN14" i="10"/>
  <c r="BO14" i="10" s="1"/>
  <c r="BP14" i="10" s="1"/>
  <c r="BC14" i="10"/>
  <c r="BD14" i="10" s="1"/>
  <c r="BB14" i="10"/>
  <c r="AZ14" i="10"/>
  <c r="AY14" i="10"/>
  <c r="AV14" i="10"/>
  <c r="AW14" i="10" s="1"/>
  <c r="AX14" i="10" s="1"/>
  <c r="AU14" i="10"/>
  <c r="AT14" i="10"/>
  <c r="AS14" i="10"/>
  <c r="AR14" i="10"/>
  <c r="AO14" i="10"/>
  <c r="AP14" i="10" s="1"/>
  <c r="AQ14" i="10" s="1"/>
  <c r="AN14" i="10"/>
  <c r="AM14" i="10"/>
  <c r="AL14" i="10"/>
  <c r="AK14" i="10"/>
  <c r="AH14" i="10"/>
  <c r="AI14" i="10" s="1"/>
  <c r="AJ14" i="10" s="1"/>
  <c r="AG14" i="10"/>
  <c r="AF14" i="10"/>
  <c r="AE14" i="10"/>
  <c r="AD14" i="10"/>
  <c r="AA14" i="10"/>
  <c r="AB14" i="10" s="1"/>
  <c r="AC14" i="10" s="1"/>
  <c r="Z14" i="10"/>
  <c r="Y14" i="10"/>
  <c r="X14" i="10"/>
  <c r="W14" i="10"/>
  <c r="V14" i="10"/>
  <c r="Q14" i="10"/>
  <c r="P14" i="10"/>
  <c r="C14" i="10"/>
  <c r="CF13" i="10"/>
  <c r="CE13" i="10"/>
  <c r="CB13" i="10"/>
  <c r="CC13" i="10" s="1"/>
  <c r="CD13" i="10" s="1"/>
  <c r="CA13" i="10"/>
  <c r="BZ13" i="10"/>
  <c r="BY13" i="10"/>
  <c r="BX13" i="10"/>
  <c r="BU13" i="10"/>
  <c r="BV13" i="10" s="1"/>
  <c r="BW13" i="10" s="1"/>
  <c r="BT13" i="10"/>
  <c r="BS13" i="10"/>
  <c r="BQ13" i="10"/>
  <c r="BR13" i="10" s="1"/>
  <c r="BN13" i="10"/>
  <c r="BO13" i="10" s="1"/>
  <c r="BP13" i="10" s="1"/>
  <c r="BM13" i="10"/>
  <c r="BL13" i="10"/>
  <c r="BJ13" i="10"/>
  <c r="BK13" i="10" s="1"/>
  <c r="BG13" i="10"/>
  <c r="BH13" i="10" s="1"/>
  <c r="BF13" i="10"/>
  <c r="BE13" i="10"/>
  <c r="BD13" i="10"/>
  <c r="BC13" i="10"/>
  <c r="BB13" i="10"/>
  <c r="AZ13" i="10"/>
  <c r="AY13" i="10"/>
  <c r="AV13" i="10"/>
  <c r="AW13" i="10" s="1"/>
  <c r="AX13" i="10" s="1"/>
  <c r="AU13" i="10"/>
  <c r="AT13" i="10"/>
  <c r="AS13" i="10"/>
  <c r="AR13" i="10"/>
  <c r="AO13" i="10"/>
  <c r="AP13" i="10" s="1"/>
  <c r="AQ13" i="10" s="1"/>
  <c r="AN13" i="10"/>
  <c r="AM13" i="10"/>
  <c r="AL13" i="10"/>
  <c r="AK13" i="10"/>
  <c r="AH13" i="10"/>
  <c r="AI13" i="10" s="1"/>
  <c r="AJ13" i="10" s="1"/>
  <c r="AG13" i="10"/>
  <c r="AF13" i="10"/>
  <c r="AE13" i="10"/>
  <c r="AD13" i="10"/>
  <c r="AA13" i="10"/>
  <c r="AB13" i="10" s="1"/>
  <c r="AC13" i="10" s="1"/>
  <c r="Z13" i="10"/>
  <c r="Y13" i="10"/>
  <c r="X13" i="10"/>
  <c r="W13" i="10"/>
  <c r="V13" i="10"/>
  <c r="Q13" i="10"/>
  <c r="P13" i="10"/>
  <c r="C13" i="10"/>
  <c r="Z12" i="10"/>
  <c r="AA12" i="10"/>
  <c r="AB12" i="10"/>
  <c r="AC12" i="10" s="1"/>
  <c r="BB12" i="10"/>
  <c r="R12" i="10" s="1"/>
  <c r="BC12" i="10"/>
  <c r="BD12" i="10"/>
  <c r="AD12" i="10"/>
  <c r="AE12" i="10"/>
  <c r="AF12" i="10"/>
  <c r="AG12" i="10"/>
  <c r="AH12" i="10"/>
  <c r="AI12" i="10"/>
  <c r="AJ12" i="10"/>
  <c r="AK12" i="10"/>
  <c r="AL12" i="10"/>
  <c r="AM12" i="10"/>
  <c r="AN12" i="10"/>
  <c r="AO12" i="10"/>
  <c r="AP12" i="10"/>
  <c r="AQ12" i="10" s="1"/>
  <c r="AR12" i="10"/>
  <c r="AS12" i="10"/>
  <c r="AT12" i="10"/>
  <c r="AU12" i="10"/>
  <c r="AV12" i="10"/>
  <c r="AW12" i="10"/>
  <c r="AX12" i="10"/>
  <c r="AY12" i="10"/>
  <c r="AZ12" i="10"/>
  <c r="BE12" i="10"/>
  <c r="BF12" i="10"/>
  <c r="BG12" i="10"/>
  <c r="BH12" i="10"/>
  <c r="BI12" i="10"/>
  <c r="BJ12" i="10"/>
  <c r="BK12" i="10"/>
  <c r="BL12" i="10"/>
  <c r="BM12" i="10"/>
  <c r="BN12" i="10"/>
  <c r="BO12" i="10"/>
  <c r="BP12" i="10"/>
  <c r="BQ12" i="10"/>
  <c r="BR12" i="10"/>
  <c r="BT12" i="10"/>
  <c r="BU12" i="10"/>
  <c r="BV12" i="10"/>
  <c r="BW12" i="10"/>
  <c r="BX12" i="10"/>
  <c r="BY12" i="10"/>
  <c r="BZ12" i="10"/>
  <c r="CA12" i="10"/>
  <c r="CB12" i="10"/>
  <c r="CC12" i="10"/>
  <c r="CD12" i="10"/>
  <c r="CE12" i="10"/>
  <c r="CF12" i="10"/>
  <c r="BS12" i="10"/>
  <c r="C12" i="10"/>
  <c r="Q12" i="10"/>
  <c r="P12" i="10" s="1"/>
  <c r="G13" i="11" s="1"/>
  <c r="V12" i="10"/>
  <c r="W12" i="10"/>
  <c r="X12" i="10"/>
  <c r="Y12" i="10"/>
  <c r="AZ11" i="10"/>
  <c r="BB11" i="10"/>
  <c r="BC11" i="10"/>
  <c r="BD11" i="10"/>
  <c r="BE11" i="10"/>
  <c r="BF11" i="10"/>
  <c r="BG11" i="10"/>
  <c r="BH11" i="10"/>
  <c r="BI11" i="10"/>
  <c r="BJ11" i="10"/>
  <c r="BK11" i="10"/>
  <c r="BL11" i="10"/>
  <c r="BM11" i="10"/>
  <c r="BN11" i="10"/>
  <c r="BO11" i="10"/>
  <c r="BP11" i="10"/>
  <c r="BQ11" i="10"/>
  <c r="BR11" i="10"/>
  <c r="BS11" i="10"/>
  <c r="BT11" i="10"/>
  <c r="BU11" i="10"/>
  <c r="BV11" i="10"/>
  <c r="BW11" i="10"/>
  <c r="BX11" i="10"/>
  <c r="BY11" i="10"/>
  <c r="BZ11" i="10"/>
  <c r="CA11" i="10"/>
  <c r="CB11" i="10"/>
  <c r="CC11" i="10"/>
  <c r="CD11" i="10"/>
  <c r="CE11" i="10"/>
  <c r="CF11" i="10"/>
  <c r="AF11" i="10"/>
  <c r="C11" i="10"/>
  <c r="Q11" i="10"/>
  <c r="P11" i="10" s="1"/>
  <c r="R11" i="10"/>
  <c r="V11" i="10"/>
  <c r="W11" i="10"/>
  <c r="X11" i="10"/>
  <c r="Y11" i="10"/>
  <c r="Z11" i="10"/>
  <c r="AD11" i="10"/>
  <c r="AE11" i="10"/>
  <c r="AG11" i="10"/>
  <c r="AH11" i="10"/>
  <c r="AI11" i="10"/>
  <c r="AJ11" i="10"/>
  <c r="AK11" i="10"/>
  <c r="AL11" i="10"/>
  <c r="AA11" i="10"/>
  <c r="AB11" i="10" s="1"/>
  <c r="AC11" i="10" s="1"/>
  <c r="AM11" i="10"/>
  <c r="AN11" i="10"/>
  <c r="AO11" i="10"/>
  <c r="AP11" i="10"/>
  <c r="AQ11" i="10"/>
  <c r="AR11" i="10"/>
  <c r="AS11" i="10"/>
  <c r="AT11" i="10"/>
  <c r="AU11" i="10"/>
  <c r="AV11" i="10"/>
  <c r="AW11" i="10"/>
  <c r="AX11" i="10"/>
  <c r="AY11" i="10"/>
  <c r="CF10" i="10"/>
  <c r="BK10" i="10"/>
  <c r="BL10" i="10"/>
  <c r="BJ10" i="10"/>
  <c r="BN10" i="10"/>
  <c r="BO10" i="10"/>
  <c r="AV10" i="10"/>
  <c r="BP10" i="10"/>
  <c r="BQ10" i="10"/>
  <c r="BG10" i="10"/>
  <c r="BH10" i="10" s="1"/>
  <c r="BM10" i="10"/>
  <c r="BS10" i="10"/>
  <c r="BU10" i="10"/>
  <c r="CA10" i="10"/>
  <c r="X10" i="10"/>
  <c r="AR10" i="10"/>
  <c r="AS10" i="10"/>
  <c r="AT10" i="10"/>
  <c r="AU10" i="10"/>
  <c r="BF10" i="10"/>
  <c r="BE10" i="10"/>
  <c r="BD10" i="10"/>
  <c r="BC10" i="10"/>
  <c r="BB10" i="10"/>
  <c r="AZ10" i="10"/>
  <c r="AY10" i="10"/>
  <c r="AW10" i="10"/>
  <c r="AX10" i="10" s="1"/>
  <c r="C10" i="10"/>
  <c r="Q10" i="10"/>
  <c r="P10" i="10" s="1"/>
  <c r="G11" i="11" s="1"/>
  <c r="V10" i="10"/>
  <c r="W10" i="10"/>
  <c r="Y10" i="10"/>
  <c r="Z10" i="10"/>
  <c r="AA10" i="10"/>
  <c r="AB10" i="10"/>
  <c r="AC10" i="10"/>
  <c r="AD10" i="10"/>
  <c r="AE10" i="10"/>
  <c r="AF10" i="10"/>
  <c r="AG10" i="10"/>
  <c r="AH10" i="10"/>
  <c r="AI10" i="10"/>
  <c r="AJ10" i="10"/>
  <c r="AK10" i="10"/>
  <c r="AL10" i="10"/>
  <c r="AM10" i="10"/>
  <c r="AN10" i="10"/>
  <c r="AO10" i="10"/>
  <c r="AP10" i="10" s="1"/>
  <c r="AQ10" i="10" s="1"/>
  <c r="BR10" i="10"/>
  <c r="BT10" i="10"/>
  <c r="BV10" i="10"/>
  <c r="BW10" i="10" s="1"/>
  <c r="BX10" i="10"/>
  <c r="BY10" i="10"/>
  <c r="BZ10" i="10"/>
  <c r="CB10" i="10"/>
  <c r="CC10" i="10"/>
  <c r="CD10" i="10"/>
  <c r="CE10" i="10"/>
  <c r="BU9" i="10"/>
  <c r="BS9" i="10"/>
  <c r="BQ9" i="10"/>
  <c r="BN9" i="10"/>
  <c r="BK9" i="10"/>
  <c r="BF9" i="10"/>
  <c r="BD9" i="10"/>
  <c r="AZ9" i="10"/>
  <c r="C9" i="10"/>
  <c r="V9" i="10"/>
  <c r="X9" i="10"/>
  <c r="Z9" i="10"/>
  <c r="AE9" i="10"/>
  <c r="AH9" i="10"/>
  <c r="AI9" i="10" s="1"/>
  <c r="AJ9" i="10" s="1"/>
  <c r="AL9" i="10"/>
  <c r="AN9" i="10"/>
  <c r="AP9" i="10"/>
  <c r="AQ9" i="10" s="1"/>
  <c r="AS9" i="10"/>
  <c r="AU9" i="10"/>
  <c r="AW9" i="10"/>
  <c r="AX9" i="10" s="1"/>
  <c r="AY9" i="10"/>
  <c r="BR9" i="10"/>
  <c r="BT9" i="10"/>
  <c r="BV9" i="10"/>
  <c r="BW9" i="10" s="1"/>
  <c r="BX9" i="10"/>
  <c r="BZ9" i="10"/>
  <c r="CF9" i="10"/>
  <c r="BG9" i="10"/>
  <c r="BO9" i="10"/>
  <c r="BP9" i="10" s="1"/>
  <c r="BM9" i="10"/>
  <c r="BL9" i="10"/>
  <c r="BJ9" i="10"/>
  <c r="BH9" i="10"/>
  <c r="BI9" i="10" s="1"/>
  <c r="BE9" i="10"/>
  <c r="BC9" i="10"/>
  <c r="BB9" i="10"/>
  <c r="AV9" i="10"/>
  <c r="AT9" i="10"/>
  <c r="AR9" i="10"/>
  <c r="AO9" i="10"/>
  <c r="AM9" i="10"/>
  <c r="AK9" i="10"/>
  <c r="AG9" i="10"/>
  <c r="AF9" i="10"/>
  <c r="AD9" i="10"/>
  <c r="AA9" i="10"/>
  <c r="AB9" i="10" s="1"/>
  <c r="AC9" i="10" s="1"/>
  <c r="Y9" i="10"/>
  <c r="W9" i="10"/>
  <c r="Q9" i="10"/>
  <c r="P9" i="10"/>
  <c r="CE9" i="10"/>
  <c r="CB9" i="10"/>
  <c r="CC9" i="10" s="1"/>
  <c r="CD9" i="10" s="1"/>
  <c r="CA9" i="10"/>
  <c r="BY9" i="10"/>
  <c r="AD8" i="10"/>
  <c r="AF8" i="10"/>
  <c r="AG8" i="10"/>
  <c r="AL8" i="10"/>
  <c r="AM8" i="10"/>
  <c r="AO8" i="10"/>
  <c r="V8" i="10"/>
  <c r="X8" i="10"/>
  <c r="Y8" i="10"/>
  <c r="CE8" i="10"/>
  <c r="CB8" i="10"/>
  <c r="CC8" i="10" s="1"/>
  <c r="CD8" i="10" s="1"/>
  <c r="BC8" i="10"/>
  <c r="CA8" i="10"/>
  <c r="BY8" i="10"/>
  <c r="BT8" i="10"/>
  <c r="BQ8" i="10"/>
  <c r="BL8" i="10"/>
  <c r="BG8" i="10"/>
  <c r="AA8" i="10"/>
  <c r="BE8" i="10"/>
  <c r="AZ8" i="10"/>
  <c r="AR8" i="10"/>
  <c r="CF8" i="10"/>
  <c r="AP8" i="10"/>
  <c r="AN8" i="10"/>
  <c r="AK8" i="10"/>
  <c r="AH8" i="10"/>
  <c r="AI8" i="10" s="1"/>
  <c r="AJ8" i="10" s="1"/>
  <c r="AE8" i="10"/>
  <c r="AB8" i="10"/>
  <c r="AC8" i="10" s="1"/>
  <c r="Z8" i="10"/>
  <c r="W8" i="10"/>
  <c r="C8" i="10"/>
  <c r="BX8" i="10"/>
  <c r="BB8" i="10"/>
  <c r="AY8" i="10"/>
  <c r="AU8" i="10"/>
  <c r="AT8" i="10"/>
  <c r="AS8" i="10"/>
  <c r="AQ8" i="10"/>
  <c r="BU8" i="10"/>
  <c r="BV8" i="10" s="1"/>
  <c r="BW8" i="10" s="1"/>
  <c r="BS8" i="10"/>
  <c r="BR8" i="10"/>
  <c r="BN8" i="10"/>
  <c r="BO8" i="10" s="1"/>
  <c r="BP8" i="10" s="1"/>
  <c r="AV8" i="10"/>
  <c r="AW8" i="10" s="1"/>
  <c r="AX8" i="10" s="1"/>
  <c r="BM8" i="10"/>
  <c r="BK8" i="10"/>
  <c r="BJ8" i="10"/>
  <c r="BH8" i="10"/>
  <c r="BI8" i="10" s="1"/>
  <c r="BF8" i="10"/>
  <c r="BD8" i="10"/>
  <c r="Q8" i="10"/>
  <c r="P8" i="10" s="1"/>
  <c r="G9" i="11" s="1"/>
  <c r="BZ8" i="10"/>
  <c r="AA7" i="10"/>
  <c r="AB7" i="10" s="1"/>
  <c r="AC7" i="10" s="1"/>
  <c r="Z7" i="10"/>
  <c r="X7" i="10"/>
  <c r="V7" i="10"/>
  <c r="Q7" i="10"/>
  <c r="P7" i="10" s="1"/>
  <c r="G8" i="11" s="1"/>
  <c r="C7" i="10"/>
  <c r="CB7" i="10"/>
  <c r="BZ7" i="10"/>
  <c r="BX7" i="10"/>
  <c r="BT7" i="10"/>
  <c r="BS7" i="10"/>
  <c r="BQ7" i="10"/>
  <c r="BM7" i="10"/>
  <c r="BL7" i="10"/>
  <c r="BG7" i="10"/>
  <c r="BH7" i="10" s="1"/>
  <c r="BI7" i="10" s="1"/>
  <c r="BE7" i="10"/>
  <c r="AZ7" i="10"/>
  <c r="AY7" i="10"/>
  <c r="AV7" i="10"/>
  <c r="AW7" i="10" s="1"/>
  <c r="AX7" i="10" s="1"/>
  <c r="AT7" i="10"/>
  <c r="AR7" i="10"/>
  <c r="AN7" i="10"/>
  <c r="AL7" i="10"/>
  <c r="AK7" i="10"/>
  <c r="AG7" i="10"/>
  <c r="AE7" i="10"/>
  <c r="CF7" i="10"/>
  <c r="CE7" i="10"/>
  <c r="CC7" i="10"/>
  <c r="CD7" i="10" s="1"/>
  <c r="CA7" i="10"/>
  <c r="BY7" i="10"/>
  <c r="BU7" i="10"/>
  <c r="BV7" i="10" s="1"/>
  <c r="BW7" i="10" s="1"/>
  <c r="BR7" i="10"/>
  <c r="BN7" i="10"/>
  <c r="BO7" i="10" s="1"/>
  <c r="BP7" i="10" s="1"/>
  <c r="BJ7" i="10"/>
  <c r="BK7" i="10" s="1"/>
  <c r="BF7" i="10"/>
  <c r="BB7" i="10"/>
  <c r="BC7" i="10" s="1"/>
  <c r="AU7" i="10"/>
  <c r="AS7" i="10"/>
  <c r="AO7" i="10"/>
  <c r="AP7" i="10" s="1"/>
  <c r="AQ7" i="10" s="1"/>
  <c r="AM7" i="10"/>
  <c r="AH7" i="10"/>
  <c r="AI7" i="10" s="1"/>
  <c r="AJ7" i="10" s="1"/>
  <c r="AF7" i="10"/>
  <c r="AD7" i="10"/>
  <c r="Y7" i="10"/>
  <c r="W7" i="10"/>
  <c r="AY6" i="10"/>
  <c r="BQ6" i="10"/>
  <c r="BS6" i="10"/>
  <c r="AE6" i="10"/>
  <c r="AG6" i="10"/>
  <c r="AK6" i="10"/>
  <c r="AL6" i="10"/>
  <c r="AN6" i="10"/>
  <c r="AO6" i="10"/>
  <c r="BT6" i="10"/>
  <c r="BU6" i="10"/>
  <c r="BY6" i="10"/>
  <c r="CB6" i="10"/>
  <c r="AA6" i="10"/>
  <c r="AB6" i="10" s="1"/>
  <c r="AC6" i="10" s="1"/>
  <c r="Y6" i="10"/>
  <c r="X6" i="10"/>
  <c r="Z6" i="10"/>
  <c r="AD6" i="10"/>
  <c r="AF6" i="10"/>
  <c r="AH6" i="10"/>
  <c r="AI6" i="10" s="1"/>
  <c r="AJ6" i="10" s="1"/>
  <c r="AM6" i="10"/>
  <c r="AP6" i="10"/>
  <c r="AR6" i="10"/>
  <c r="AU6" i="10"/>
  <c r="AW6" i="10"/>
  <c r="AX6" i="10" s="1"/>
  <c r="W6" i="10"/>
  <c r="AZ6" i="10"/>
  <c r="BC6" i="10"/>
  <c r="BE6" i="10"/>
  <c r="BH6" i="10"/>
  <c r="BI6" i="10" s="1"/>
  <c r="BJ6" i="10"/>
  <c r="BM6" i="10"/>
  <c r="BP6" i="10"/>
  <c r="BR6" i="10"/>
  <c r="BV6" i="10"/>
  <c r="BW6" i="10" s="1"/>
  <c r="BX6" i="10"/>
  <c r="CA6" i="10"/>
  <c r="CC6" i="10"/>
  <c r="CD6" i="10" s="1"/>
  <c r="CE6" i="10"/>
  <c r="CF6" i="10"/>
  <c r="C6" i="10"/>
  <c r="Q6" i="10"/>
  <c r="P6" i="10" s="1"/>
  <c r="G7" i="11" s="1"/>
  <c r="AQ6" i="10"/>
  <c r="BL6" i="10"/>
  <c r="BZ6" i="10"/>
  <c r="V6" i="10"/>
  <c r="AS6" i="10"/>
  <c r="AT6" i="10"/>
  <c r="AV6" i="10"/>
  <c r="BB6" i="10"/>
  <c r="BD6" i="10"/>
  <c r="BF6" i="10"/>
  <c r="BG6" i="10"/>
  <c r="BK6" i="10"/>
  <c r="BN6" i="10"/>
  <c r="BO6" i="10"/>
  <c r="E45" i="9"/>
  <c r="D45" i="9"/>
  <c r="M45" i="9"/>
  <c r="L45" i="9"/>
  <c r="K45" i="9"/>
  <c r="I45" i="9"/>
  <c r="J45" i="9"/>
  <c r="N45" i="9"/>
  <c r="C45" i="9"/>
  <c r="H45" i="9"/>
  <c r="F45" i="9"/>
  <c r="I44" i="9"/>
  <c r="H44" i="9"/>
  <c r="D44" i="9"/>
  <c r="N44" i="9"/>
  <c r="M44" i="9"/>
  <c r="L44" i="9"/>
  <c r="F44" i="9"/>
  <c r="K44" i="9"/>
  <c r="J44" i="9"/>
  <c r="C44" i="9"/>
  <c r="E44" i="9"/>
  <c r="K43" i="9"/>
  <c r="M43" i="9"/>
  <c r="N43" i="9"/>
  <c r="F43" i="9"/>
  <c r="H43" i="9"/>
  <c r="J43" i="9"/>
  <c r="L43" i="9"/>
  <c r="D43" i="9"/>
  <c r="C43" i="9"/>
  <c r="E43" i="9"/>
  <c r="I43" i="9"/>
  <c r="E42" i="9"/>
  <c r="I42" i="9"/>
  <c r="N42" i="9"/>
  <c r="M42" i="9"/>
  <c r="L42" i="9"/>
  <c r="J42" i="9"/>
  <c r="H42" i="9"/>
  <c r="F42" i="9"/>
  <c r="D42" i="9"/>
  <c r="C42" i="9"/>
  <c r="K42" i="9"/>
  <c r="C41" i="9"/>
  <c r="H41" i="9"/>
  <c r="N41" i="9"/>
  <c r="M41" i="9"/>
  <c r="L41" i="9"/>
  <c r="K41" i="9"/>
  <c r="J41" i="9"/>
  <c r="I41" i="9"/>
  <c r="F41" i="9"/>
  <c r="E41" i="9"/>
  <c r="D41" i="9"/>
  <c r="I40" i="9"/>
  <c r="K40" i="9"/>
  <c r="J40" i="9"/>
  <c r="M40" i="9"/>
  <c r="H40" i="9"/>
  <c r="E40" i="9"/>
  <c r="D40" i="9"/>
  <c r="C40" i="9"/>
  <c r="N40" i="9"/>
  <c r="L40" i="9"/>
  <c r="F40" i="9"/>
  <c r="F39" i="9"/>
  <c r="E39" i="9"/>
  <c r="D39" i="9"/>
  <c r="C39" i="9"/>
  <c r="K38" i="9"/>
  <c r="I38" i="9"/>
  <c r="H38" i="9"/>
  <c r="F38" i="9"/>
  <c r="E38" i="9"/>
  <c r="D38" i="9"/>
  <c r="C38" i="9"/>
  <c r="J38" i="9"/>
  <c r="N38" i="9"/>
  <c r="M38" i="9"/>
  <c r="L38" i="9"/>
  <c r="K37" i="9"/>
  <c r="L37" i="9"/>
  <c r="M37" i="9"/>
  <c r="F37" i="9"/>
  <c r="N37" i="9"/>
  <c r="C37" i="9"/>
  <c r="D37" i="9"/>
  <c r="E37" i="9"/>
  <c r="H37" i="9"/>
  <c r="I37" i="9"/>
  <c r="J37" i="9"/>
  <c r="D36" i="9"/>
  <c r="L36" i="9"/>
  <c r="C36" i="9"/>
  <c r="M36" i="9"/>
  <c r="H36" i="9"/>
  <c r="N36" i="9"/>
  <c r="K36" i="9"/>
  <c r="J36" i="9"/>
  <c r="I36" i="9"/>
  <c r="F36" i="9"/>
  <c r="E36" i="9"/>
  <c r="L35" i="9"/>
  <c r="M35" i="9" s="1"/>
  <c r="C35" i="9"/>
  <c r="D35" i="9"/>
  <c r="I35" i="9"/>
  <c r="E35" i="9"/>
  <c r="F35" i="9" s="1"/>
  <c r="H35" i="9" s="1"/>
  <c r="K35" i="9" s="1"/>
  <c r="N35" i="9" s="1"/>
  <c r="J35" i="9"/>
  <c r="C34" i="9"/>
  <c r="D34" i="9"/>
  <c r="E34" i="9"/>
  <c r="I34" i="9"/>
  <c r="J34" i="9"/>
  <c r="L34" i="9"/>
  <c r="M34" i="9" s="1"/>
  <c r="F34" i="9"/>
  <c r="H34" i="9" s="1"/>
  <c r="K34" i="9" s="1"/>
  <c r="N34" i="9" s="1"/>
  <c r="C33" i="9"/>
  <c r="D33" i="9"/>
  <c r="E33" i="9"/>
  <c r="F33" i="9"/>
  <c r="H33" i="9"/>
  <c r="I33" i="9"/>
  <c r="J33" i="9"/>
  <c r="K33" i="9"/>
  <c r="L33" i="9"/>
  <c r="M33" i="9"/>
  <c r="N33" i="9"/>
  <c r="L32" i="9"/>
  <c r="M32" i="9" s="1"/>
  <c r="J32" i="9"/>
  <c r="I32" i="9"/>
  <c r="E32" i="9"/>
  <c r="D32" i="9"/>
  <c r="C32" i="9"/>
  <c r="F32" i="9"/>
  <c r="H32" i="9" s="1"/>
  <c r="K32" i="9" s="1"/>
  <c r="N32" i="9" s="1"/>
  <c r="L31" i="9"/>
  <c r="M31" i="9" s="1"/>
  <c r="J31" i="9"/>
  <c r="I31" i="9"/>
  <c r="D31" i="9"/>
  <c r="C31" i="9"/>
  <c r="E31" i="9"/>
  <c r="F31" i="9"/>
  <c r="H31" i="9" s="1"/>
  <c r="K31" i="9" s="1"/>
  <c r="N31" i="9" s="1"/>
  <c r="J30" i="9"/>
  <c r="I30" i="9"/>
  <c r="E30" i="9"/>
  <c r="F30" i="9" s="1"/>
  <c r="H30" i="9" s="1"/>
  <c r="K30" i="9" s="1"/>
  <c r="N30" i="9" s="1"/>
  <c r="L30" i="9"/>
  <c r="M30" i="9" s="1"/>
  <c r="D30" i="9"/>
  <c r="C30" i="9"/>
  <c r="L29" i="9"/>
  <c r="M29" i="9" s="1"/>
  <c r="J29" i="9"/>
  <c r="I29" i="9"/>
  <c r="E29" i="9"/>
  <c r="F29" i="9" s="1"/>
  <c r="H29" i="9" s="1"/>
  <c r="K29" i="9" s="1"/>
  <c r="N29" i="9" s="1"/>
  <c r="D29" i="9"/>
  <c r="C29" i="9"/>
  <c r="L28" i="9"/>
  <c r="M28" i="9" s="1"/>
  <c r="J28" i="9"/>
  <c r="E28" i="9"/>
  <c r="F28" i="9" s="1"/>
  <c r="H28" i="9" s="1"/>
  <c r="K28" i="9" s="1"/>
  <c r="N28" i="9" s="1"/>
  <c r="D28" i="9"/>
  <c r="C28" i="9"/>
  <c r="I28" i="9"/>
  <c r="J27" i="9"/>
  <c r="I27" i="9"/>
  <c r="C27" i="14" s="1"/>
  <c r="E27" i="9"/>
  <c r="F27" i="9" s="1"/>
  <c r="D27" i="9"/>
  <c r="C27" i="9"/>
  <c r="L27" i="9"/>
  <c r="I26" i="9"/>
  <c r="J26" i="9"/>
  <c r="L26" i="9"/>
  <c r="M26" i="9"/>
  <c r="E26" i="9"/>
  <c r="F26" i="9" s="1"/>
  <c r="H26" i="9" s="1"/>
  <c r="K26" i="9" s="1"/>
  <c r="N26" i="9" s="1"/>
  <c r="D26" i="9"/>
  <c r="C26" i="9"/>
  <c r="L25" i="9"/>
  <c r="M25" i="9" s="1"/>
  <c r="C25" i="9"/>
  <c r="D25" i="9"/>
  <c r="E25" i="9"/>
  <c r="F25" i="9" s="1"/>
  <c r="H25" i="9" s="1"/>
  <c r="K25" i="9" s="1"/>
  <c r="N25" i="9" s="1"/>
  <c r="I25" i="9"/>
  <c r="J25" i="9"/>
  <c r="D24" i="9"/>
  <c r="E24" i="9"/>
  <c r="F24" i="9"/>
  <c r="L24" i="9"/>
  <c r="M24" i="9" s="1"/>
  <c r="J24" i="9"/>
  <c r="I24" i="9"/>
  <c r="H24" i="9"/>
  <c r="K24" i="9" s="1"/>
  <c r="N24" i="9" s="1"/>
  <c r="C24" i="9"/>
  <c r="I23" i="9"/>
  <c r="E23" i="9"/>
  <c r="L23" i="9"/>
  <c r="M23" i="9" s="1"/>
  <c r="J23" i="9"/>
  <c r="C23" i="9"/>
  <c r="D23" i="9"/>
  <c r="F23" i="9"/>
  <c r="H23" i="9" s="1"/>
  <c r="K23" i="9" s="1"/>
  <c r="N23" i="9" s="1"/>
  <c r="I22" i="9"/>
  <c r="J22" i="9"/>
  <c r="L22" i="9"/>
  <c r="M22" i="9"/>
  <c r="D22" i="9"/>
  <c r="C22" i="9"/>
  <c r="E22" i="9"/>
  <c r="F22" i="9" s="1"/>
  <c r="H22" i="9" s="1"/>
  <c r="K22" i="9" s="1"/>
  <c r="N22" i="9" s="1"/>
  <c r="L21" i="9"/>
  <c r="C21" i="9"/>
  <c r="D21" i="9"/>
  <c r="E21" i="9"/>
  <c r="F21" i="9"/>
  <c r="H21" i="9"/>
  <c r="I21" i="9"/>
  <c r="J21" i="9"/>
  <c r="M21" i="9"/>
  <c r="K21" i="9"/>
  <c r="N21" i="9" s="1"/>
  <c r="I20" i="9"/>
  <c r="E20" i="9"/>
  <c r="F20" i="9" s="1"/>
  <c r="H20" i="9" s="1"/>
  <c r="K20" i="9" s="1"/>
  <c r="N20" i="9" s="1"/>
  <c r="D20" i="9"/>
  <c r="C20" i="9"/>
  <c r="L20" i="9"/>
  <c r="M20" i="9" s="1"/>
  <c r="J20" i="9"/>
  <c r="L19" i="9"/>
  <c r="M19" i="9"/>
  <c r="J19" i="9"/>
  <c r="I19" i="9"/>
  <c r="E19" i="9"/>
  <c r="F19" i="9" s="1"/>
  <c r="H19" i="9" s="1"/>
  <c r="K19" i="9" s="1"/>
  <c r="N19" i="9" s="1"/>
  <c r="D19" i="9"/>
  <c r="C19" i="9"/>
  <c r="E18" i="9"/>
  <c r="D18" i="9"/>
  <c r="C18" i="9"/>
  <c r="L18" i="9"/>
  <c r="M18" i="9" s="1"/>
  <c r="J18" i="9"/>
  <c r="I18" i="9"/>
  <c r="F18" i="9"/>
  <c r="H18" i="9" s="1"/>
  <c r="K18" i="9" s="1"/>
  <c r="N18" i="9" s="1"/>
  <c r="L17" i="9"/>
  <c r="M17" i="9"/>
  <c r="C17" i="9"/>
  <c r="D17" i="9"/>
  <c r="E17" i="9"/>
  <c r="F17" i="9"/>
  <c r="H17" i="9"/>
  <c r="K17" i="9" s="1"/>
  <c r="N17" i="9" s="1"/>
  <c r="I17" i="9"/>
  <c r="J17" i="9"/>
  <c r="C16" i="9"/>
  <c r="E16" i="9"/>
  <c r="L16" i="9"/>
  <c r="M16" i="9" s="1"/>
  <c r="J16" i="9"/>
  <c r="I16" i="9"/>
  <c r="F16" i="9"/>
  <c r="H16" i="9" s="1"/>
  <c r="K16" i="9" s="1"/>
  <c r="N16" i="9" s="1"/>
  <c r="D16" i="9"/>
  <c r="L15" i="9"/>
  <c r="M15" i="9"/>
  <c r="J15" i="9"/>
  <c r="I15" i="9"/>
  <c r="E15" i="9"/>
  <c r="F15" i="9" s="1"/>
  <c r="H15" i="9" s="1"/>
  <c r="K15" i="9" s="1"/>
  <c r="N15" i="9" s="1"/>
  <c r="D15" i="9"/>
  <c r="C15" i="9"/>
  <c r="E14" i="9"/>
  <c r="D14" i="9"/>
  <c r="C14" i="9"/>
  <c r="L14" i="9"/>
  <c r="M14" i="9" s="1"/>
  <c r="J14" i="9"/>
  <c r="I14" i="9"/>
  <c r="F14" i="9"/>
  <c r="H14" i="9" s="1"/>
  <c r="K14" i="9" s="1"/>
  <c r="N14" i="9" s="1"/>
  <c r="C13" i="9"/>
  <c r="D13" i="9"/>
  <c r="E13" i="9"/>
  <c r="F13" i="9"/>
  <c r="H13" i="9" s="1"/>
  <c r="K13" i="9" s="1"/>
  <c r="N13" i="9" s="1"/>
  <c r="I13" i="9"/>
  <c r="J13" i="9"/>
  <c r="L13" i="9"/>
  <c r="M13" i="9" s="1"/>
  <c r="L12" i="9"/>
  <c r="J12" i="9"/>
  <c r="M12" i="9"/>
  <c r="I12" i="9"/>
  <c r="C12" i="9"/>
  <c r="D12" i="9"/>
  <c r="E12" i="9"/>
  <c r="F12" i="9" s="1"/>
  <c r="H12" i="9" s="1"/>
  <c r="K12" i="9" s="1"/>
  <c r="N12" i="9" s="1"/>
  <c r="C11" i="9"/>
  <c r="J11" i="9"/>
  <c r="L11" i="9"/>
  <c r="M11" i="9" s="1"/>
  <c r="I11" i="9"/>
  <c r="E11" i="9"/>
  <c r="F11" i="9" s="1"/>
  <c r="H11" i="9" s="1"/>
  <c r="K11" i="9" s="1"/>
  <c r="N11" i="9" s="1"/>
  <c r="D11" i="9"/>
  <c r="C10" i="9"/>
  <c r="D10" i="9"/>
  <c r="E10" i="9"/>
  <c r="F10" i="9" s="1"/>
  <c r="H10" i="9" s="1"/>
  <c r="K10" i="9" s="1"/>
  <c r="N10" i="9" s="1"/>
  <c r="I10" i="9"/>
  <c r="J10" i="9"/>
  <c r="L10" i="9"/>
  <c r="M10" i="9" s="1"/>
  <c r="C9" i="9"/>
  <c r="D9" i="9"/>
  <c r="E9" i="9"/>
  <c r="F9" i="9" s="1"/>
  <c r="H9" i="9" s="1"/>
  <c r="K9" i="9" s="1"/>
  <c r="N9" i="9" s="1"/>
  <c r="I9" i="9"/>
  <c r="J9" i="9"/>
  <c r="L9" i="9"/>
  <c r="M9" i="9"/>
  <c r="C8" i="9"/>
  <c r="J8" i="9"/>
  <c r="I8" i="9"/>
  <c r="L8" i="9"/>
  <c r="M8" i="9" s="1"/>
  <c r="E8" i="9"/>
  <c r="F8" i="9" s="1"/>
  <c r="H8" i="9" s="1"/>
  <c r="K8" i="9" s="1"/>
  <c r="N8" i="9" s="1"/>
  <c r="D8" i="9"/>
  <c r="L7" i="9"/>
  <c r="J7" i="9"/>
  <c r="I7" i="9"/>
  <c r="E7" i="9"/>
  <c r="F7" i="9" s="1"/>
  <c r="H7" i="9" s="1"/>
  <c r="K7" i="9" s="1"/>
  <c r="N7" i="9" s="1"/>
  <c r="D7" i="9"/>
  <c r="C7" i="9"/>
  <c r="M7" i="9"/>
  <c r="J6" i="9"/>
  <c r="M6" i="9"/>
  <c r="L6" i="9"/>
  <c r="I6" i="9"/>
  <c r="E6" i="9"/>
  <c r="C6" i="9"/>
  <c r="D6" i="9"/>
  <c r="F6" i="9"/>
  <c r="H6" i="9" s="1"/>
  <c r="K6" i="9" s="1"/>
  <c r="N6" i="9" s="1"/>
  <c r="H61" i="8"/>
  <c r="I61" i="8"/>
  <c r="J61" i="8"/>
  <c r="K61" i="8"/>
  <c r="L61" i="8"/>
  <c r="M61" i="8"/>
  <c r="D61" i="8"/>
  <c r="G61" i="8"/>
  <c r="F61" i="8"/>
  <c r="E61" i="8"/>
  <c r="C61" i="8"/>
  <c r="L60" i="8"/>
  <c r="F60" i="8"/>
  <c r="D60" i="8"/>
  <c r="C60" i="8"/>
  <c r="E60" i="8"/>
  <c r="M60" i="8"/>
  <c r="K60" i="8"/>
  <c r="J60" i="8"/>
  <c r="I60" i="8"/>
  <c r="H60" i="8"/>
  <c r="G60" i="8"/>
  <c r="K59" i="8"/>
  <c r="H59" i="8"/>
  <c r="D59" i="8"/>
  <c r="F59" i="8"/>
  <c r="E59" i="8"/>
  <c r="M59" i="8"/>
  <c r="C59" i="8"/>
  <c r="J59" i="8"/>
  <c r="I59" i="8"/>
  <c r="G59" i="8"/>
  <c r="L59" i="8"/>
  <c r="G58" i="8"/>
  <c r="C58" i="8"/>
  <c r="D58" i="8"/>
  <c r="F58" i="8"/>
  <c r="H58" i="8"/>
  <c r="E58" i="8"/>
  <c r="M58" i="8"/>
  <c r="L58" i="8"/>
  <c r="K58" i="8"/>
  <c r="J58" i="8"/>
  <c r="I58" i="8"/>
  <c r="E57" i="8"/>
  <c r="J57" i="8"/>
  <c r="I57" i="8"/>
  <c r="C57" i="8"/>
  <c r="D57" i="8"/>
  <c r="H57" i="8"/>
  <c r="F57" i="8"/>
  <c r="M57" i="8"/>
  <c r="G57" i="8"/>
  <c r="L57" i="8"/>
  <c r="K57" i="8"/>
  <c r="H56" i="8"/>
  <c r="I56" i="8"/>
  <c r="M56" i="8"/>
  <c r="D56" i="8"/>
  <c r="C56" i="8"/>
  <c r="F56" i="8"/>
  <c r="J56" i="8"/>
  <c r="E56" i="8"/>
  <c r="G56" i="8"/>
  <c r="K56" i="8"/>
  <c r="L56" i="8"/>
  <c r="M55" i="8"/>
  <c r="I55" i="8"/>
  <c r="C55" i="8"/>
  <c r="J55" i="8"/>
  <c r="K55" i="8"/>
  <c r="D55" i="8"/>
  <c r="F55" i="8"/>
  <c r="E55" i="8"/>
  <c r="G55" i="8"/>
  <c r="L55" i="8"/>
  <c r="H55" i="8"/>
  <c r="K54" i="8"/>
  <c r="D54" i="8"/>
  <c r="E54" i="8"/>
  <c r="F54" i="8"/>
  <c r="G54" i="8"/>
  <c r="H54" i="8"/>
  <c r="I54" i="8"/>
  <c r="J54" i="8"/>
  <c r="M54" i="8"/>
  <c r="L54" i="8"/>
  <c r="C54" i="8"/>
  <c r="K53" i="8"/>
  <c r="J53" i="8"/>
  <c r="I53" i="8"/>
  <c r="H53" i="8"/>
  <c r="F53" i="8"/>
  <c r="D53" i="8"/>
  <c r="C53" i="8"/>
  <c r="E53" i="8"/>
  <c r="G53" i="8"/>
  <c r="L53" i="8"/>
  <c r="M53" i="8"/>
  <c r="L52" i="8"/>
  <c r="J52" i="8"/>
  <c r="H52" i="8"/>
  <c r="F52" i="8"/>
  <c r="E52" i="8"/>
  <c r="C52" i="8"/>
  <c r="K52" i="8"/>
  <c r="M52" i="8"/>
  <c r="D52" i="8"/>
  <c r="G52" i="8"/>
  <c r="I52" i="8"/>
  <c r="I51" i="8"/>
  <c r="G51" i="8"/>
  <c r="C51" i="8"/>
  <c r="J51" i="8"/>
  <c r="E51" i="8"/>
  <c r="E50" i="8"/>
  <c r="C50" i="8"/>
  <c r="I50" i="8"/>
  <c r="J50" i="8" s="1"/>
  <c r="G50" i="8"/>
  <c r="I49" i="8"/>
  <c r="J49" i="8"/>
  <c r="G49" i="8"/>
  <c r="E49" i="8"/>
  <c r="C49" i="8"/>
  <c r="E48" i="8"/>
  <c r="C48" i="8"/>
  <c r="I48" i="8"/>
  <c r="J48" i="8" s="1"/>
  <c r="G48" i="8"/>
  <c r="G47" i="8"/>
  <c r="C47" i="8"/>
  <c r="E47" i="8"/>
  <c r="I47" i="8"/>
  <c r="J47" i="8" s="1"/>
  <c r="E46" i="8"/>
  <c r="C46" i="8"/>
  <c r="I46" i="8"/>
  <c r="J46" i="8" s="1"/>
  <c r="G46" i="8"/>
  <c r="I45" i="8"/>
  <c r="J45" i="8"/>
  <c r="G45" i="8"/>
  <c r="E45" i="8"/>
  <c r="C45" i="8"/>
  <c r="I44" i="8"/>
  <c r="J44" i="8" s="1"/>
  <c r="C44" i="8"/>
  <c r="E44" i="8"/>
  <c r="G44" i="8"/>
  <c r="E43" i="8"/>
  <c r="I43" i="8"/>
  <c r="J43" i="8" s="1"/>
  <c r="C34" i="14" s="1"/>
  <c r="G43" i="8"/>
  <c r="C43" i="8"/>
  <c r="E42" i="8"/>
  <c r="C42" i="8"/>
  <c r="I42" i="8"/>
  <c r="G42" i="8"/>
  <c r="J42" i="8"/>
  <c r="C41" i="8"/>
  <c r="E41" i="8"/>
  <c r="I41" i="8"/>
  <c r="J41" i="8" s="1"/>
  <c r="G41" i="8"/>
  <c r="E40" i="8"/>
  <c r="C40" i="8"/>
  <c r="G40" i="8"/>
  <c r="I40" i="8"/>
  <c r="J40" i="8"/>
  <c r="G39" i="8"/>
  <c r="C39" i="8"/>
  <c r="E39" i="8"/>
  <c r="I39" i="8"/>
  <c r="J39" i="8" s="1"/>
  <c r="C38" i="8"/>
  <c r="G38" i="8"/>
  <c r="E38" i="8"/>
  <c r="I38" i="8"/>
  <c r="J38" i="8" s="1"/>
  <c r="E37" i="8"/>
  <c r="C37" i="8"/>
  <c r="G37" i="8"/>
  <c r="I37" i="8"/>
  <c r="J37" i="8"/>
  <c r="I36" i="8"/>
  <c r="J36" i="8" s="1"/>
  <c r="G36" i="8"/>
  <c r="C36" i="8"/>
  <c r="E36" i="8"/>
  <c r="C35" i="8"/>
  <c r="E35" i="8"/>
  <c r="I35" i="8"/>
  <c r="J35" i="8" s="1"/>
  <c r="G35" i="8"/>
  <c r="J34" i="8"/>
  <c r="I34" i="8"/>
  <c r="G34" i="8"/>
  <c r="E34" i="8"/>
  <c r="C34" i="8"/>
  <c r="I33" i="8"/>
  <c r="J33" i="8" s="1"/>
  <c r="G33" i="8"/>
  <c r="E33" i="8"/>
  <c r="C33" i="8"/>
  <c r="I32" i="8"/>
  <c r="G32" i="8"/>
  <c r="E32" i="8"/>
  <c r="C32" i="8"/>
  <c r="J32" i="8"/>
  <c r="G31" i="8"/>
  <c r="E31" i="8"/>
  <c r="C31" i="8"/>
  <c r="I31" i="8"/>
  <c r="J31" i="8" s="1"/>
  <c r="E30" i="8"/>
  <c r="C30" i="8"/>
  <c r="I29" i="8"/>
  <c r="J29" i="8" s="1"/>
  <c r="G29" i="8"/>
  <c r="E29" i="8"/>
  <c r="C29" i="8"/>
  <c r="C28" i="8"/>
  <c r="I28" i="8"/>
  <c r="J28" i="8" s="1"/>
  <c r="G28" i="8"/>
  <c r="E28" i="8"/>
  <c r="I27" i="8"/>
  <c r="J27" i="8" s="1"/>
  <c r="G27" i="8"/>
  <c r="C27" i="8"/>
  <c r="E27" i="8"/>
  <c r="C26" i="8"/>
  <c r="E26" i="8"/>
  <c r="G26" i="8"/>
  <c r="I26" i="8"/>
  <c r="J26" i="8"/>
  <c r="I25" i="8"/>
  <c r="J25" i="8" s="1"/>
  <c r="J62" i="8" s="1"/>
  <c r="G25" i="8"/>
  <c r="E25" i="8"/>
  <c r="C25" i="8"/>
  <c r="E24" i="8"/>
  <c r="D24" i="8"/>
  <c r="F24" i="8" s="1"/>
  <c r="H24" i="8" s="1"/>
  <c r="K24" i="8" s="1"/>
  <c r="L24" i="8" s="1"/>
  <c r="M24" i="8" s="1"/>
  <c r="M8" i="12" s="1"/>
  <c r="C24" i="8"/>
  <c r="I24" i="8"/>
  <c r="J24" i="8"/>
  <c r="G24" i="8"/>
  <c r="E23" i="8"/>
  <c r="C23" i="8"/>
  <c r="G23" i="8"/>
  <c r="I23" i="8"/>
  <c r="J23" i="8"/>
  <c r="I22" i="8"/>
  <c r="I62" i="8" s="1"/>
  <c r="G22" i="8"/>
  <c r="E22" i="8"/>
  <c r="C22" i="8"/>
  <c r="J22" i="8"/>
  <c r="J144" i="7"/>
  <c r="K144" i="7" s="1"/>
  <c r="J21" i="6"/>
  <c r="J129" i="7"/>
  <c r="K129" i="7" s="1"/>
  <c r="J8" i="6"/>
  <c r="J9" i="6"/>
  <c r="J108" i="7"/>
  <c r="K108" i="7" s="1"/>
  <c r="J104" i="7"/>
  <c r="K104" i="7" s="1"/>
  <c r="J31" i="6"/>
  <c r="J17" i="6"/>
  <c r="J93" i="7"/>
  <c r="K93" i="7" s="1"/>
  <c r="J89" i="7"/>
  <c r="K89" i="7" s="1"/>
  <c r="J34" i="6"/>
  <c r="J24" i="6"/>
  <c r="J75" i="7"/>
  <c r="K75" i="7" s="1"/>
  <c r="J70" i="7"/>
  <c r="K70" i="7" s="1"/>
  <c r="J36" i="6"/>
  <c r="J32" i="6"/>
  <c r="J58" i="7"/>
  <c r="K58" i="7" s="1"/>
  <c r="J54" i="7"/>
  <c r="K54" i="7" s="1"/>
  <c r="J37" i="6"/>
  <c r="J50" i="7"/>
  <c r="K50" i="7" s="1"/>
  <c r="J28" i="6"/>
  <c r="J31" i="7"/>
  <c r="K31" i="7" s="1"/>
  <c r="J15" i="6"/>
  <c r="J26" i="7"/>
  <c r="K26" i="7" s="1"/>
  <c r="J29" i="6"/>
  <c r="J25" i="7"/>
  <c r="K25" i="7" s="1"/>
  <c r="J27" i="6"/>
  <c r="J24" i="7"/>
  <c r="K24" i="7" s="1"/>
  <c r="J25" i="6"/>
  <c r="J21" i="7"/>
  <c r="K21" i="7" s="1"/>
  <c r="J19" i="6"/>
  <c r="J20" i="7"/>
  <c r="K20" i="7" s="1"/>
  <c r="J18" i="6"/>
  <c r="J18" i="7"/>
  <c r="K18" i="7" s="1"/>
  <c r="J13" i="6"/>
  <c r="J16" i="7"/>
  <c r="K16" i="7" s="1"/>
  <c r="J11" i="6"/>
  <c r="J15" i="7"/>
  <c r="K15" i="7" s="1"/>
  <c r="J35" i="6"/>
  <c r="J14" i="7"/>
  <c r="K14" i="7" s="1"/>
  <c r="J33" i="6"/>
  <c r="J13" i="7"/>
  <c r="K13" i="7" s="1"/>
  <c r="J30" i="6"/>
  <c r="J12" i="7"/>
  <c r="K12" i="7" s="1"/>
  <c r="J26" i="6"/>
  <c r="F21" i="13" s="1"/>
  <c r="J11" i="7"/>
  <c r="K11" i="7" s="1"/>
  <c r="J23" i="6"/>
  <c r="J10" i="7"/>
  <c r="K10" i="7" s="1"/>
  <c r="J22" i="6"/>
  <c r="J9" i="7"/>
  <c r="K9" i="7" s="1"/>
  <c r="J20" i="6"/>
  <c r="J8" i="7"/>
  <c r="K8" i="7" s="1"/>
  <c r="G30" i="8"/>
  <c r="J16" i="6"/>
  <c r="F19" i="13" s="1"/>
  <c r="J7" i="7"/>
  <c r="K7" i="7" s="1"/>
  <c r="J14" i="6"/>
  <c r="K12" i="6"/>
  <c r="N10" i="12" s="1"/>
  <c r="O10" i="12" s="1"/>
  <c r="J6" i="7"/>
  <c r="K6" i="7" s="1"/>
  <c r="J12" i="6"/>
  <c r="F18" i="13" s="1"/>
  <c r="B3" i="7"/>
  <c r="D3" i="7"/>
  <c r="C10" i="15"/>
  <c r="C18" i="14"/>
  <c r="C17" i="13"/>
  <c r="E17" i="13"/>
  <c r="C18" i="13"/>
  <c r="E18" i="13"/>
  <c r="C19" i="13"/>
  <c r="E19" i="13"/>
  <c r="C20" i="13"/>
  <c r="E20" i="13"/>
  <c r="C21" i="13"/>
  <c r="E21" i="13"/>
  <c r="C22" i="13"/>
  <c r="E22" i="13"/>
  <c r="F22" i="13"/>
  <c r="C23" i="13"/>
  <c r="F20" i="13"/>
  <c r="E23" i="13"/>
  <c r="I10" i="5"/>
  <c r="I14" i="5"/>
  <c r="I15" i="5"/>
  <c r="I11" i="5"/>
  <c r="I12" i="5"/>
  <c r="I8" i="5"/>
  <c r="I6" i="5"/>
  <c r="I7" i="5"/>
  <c r="I13" i="5"/>
  <c r="I9" i="5"/>
  <c r="I114" i="7"/>
  <c r="F3" i="7" s="1"/>
  <c r="I139" i="7"/>
  <c r="M5" i="6"/>
  <c r="L5" i="6"/>
  <c r="D3" i="6"/>
  <c r="AP5" i="6"/>
  <c r="AO5" i="6"/>
  <c r="AN5" i="6"/>
  <c r="AM5" i="6"/>
  <c r="AL5" i="6"/>
  <c r="AK5" i="6"/>
  <c r="AJ5" i="6"/>
  <c r="AI5" i="6"/>
  <c r="AH5" i="6"/>
  <c r="AG5" i="6"/>
  <c r="AF5" i="6"/>
  <c r="AE5" i="6"/>
  <c r="AD5" i="6"/>
  <c r="AC5" i="6"/>
  <c r="AB5" i="6"/>
  <c r="AA5" i="6"/>
  <c r="Z5" i="6"/>
  <c r="Y5" i="6"/>
  <c r="X5" i="6"/>
  <c r="W5" i="6"/>
  <c r="V5" i="6"/>
  <c r="U5" i="6"/>
  <c r="T5" i="6"/>
  <c r="S5" i="6"/>
  <c r="R5" i="6"/>
  <c r="Q5" i="6"/>
  <c r="P5" i="6"/>
  <c r="O5" i="6"/>
  <c r="N5" i="6"/>
  <c r="B40" i="14"/>
  <c r="C15" i="14"/>
  <c r="B3" i="6"/>
  <c r="J215" i="7"/>
  <c r="K215" i="7" s="1"/>
  <c r="J211" i="7"/>
  <c r="K211" i="7" s="1"/>
  <c r="J209" i="7"/>
  <c r="K209" i="7" s="1"/>
  <c r="J206" i="7"/>
  <c r="K206" i="7" s="1"/>
  <c r="J205" i="7"/>
  <c r="K205" i="7" s="1"/>
  <c r="J204" i="7"/>
  <c r="K204" i="7" s="1"/>
  <c r="J203" i="7"/>
  <c r="K203" i="7" s="1"/>
  <c r="J202" i="7"/>
  <c r="K202" i="7" s="1"/>
  <c r="J201" i="7"/>
  <c r="K201" i="7" s="1"/>
  <c r="J199" i="7"/>
  <c r="K199" i="7" s="1"/>
  <c r="J196" i="7"/>
  <c r="K196" i="7" s="1"/>
  <c r="J194" i="7"/>
  <c r="K194" i="7" s="1"/>
  <c r="BX22" i="10"/>
  <c r="J193" i="7"/>
  <c r="K193" i="7" s="1"/>
  <c r="J151" i="7"/>
  <c r="K151" i="7" s="1"/>
  <c r="J145" i="7"/>
  <c r="K145" i="7" s="1"/>
  <c r="J142" i="7"/>
  <c r="K142" i="7" s="1"/>
  <c r="J136" i="7"/>
  <c r="K136" i="7" s="1"/>
  <c r="J134" i="7"/>
  <c r="K134" i="7" s="1"/>
  <c r="J132" i="7"/>
  <c r="K132" i="7" s="1"/>
  <c r="J112" i="7"/>
  <c r="K112" i="7" s="1"/>
  <c r="J110" i="7"/>
  <c r="K110" i="7" s="1"/>
  <c r="J103" i="7"/>
  <c r="K103" i="7" s="1"/>
  <c r="J88" i="7"/>
  <c r="K88" i="7" s="1"/>
  <c r="J86" i="7"/>
  <c r="K86" i="7" s="1"/>
  <c r="J81" i="7"/>
  <c r="K81" i="7" s="1"/>
  <c r="K24" i="6"/>
  <c r="N22" i="12" s="1"/>
  <c r="O22" i="12" s="1"/>
  <c r="J66" i="7"/>
  <c r="K66" i="7" s="1"/>
  <c r="J167" i="7"/>
  <c r="K167" i="7" s="1"/>
  <c r="J161" i="7"/>
  <c r="K161" i="7" s="1"/>
  <c r="J153" i="7"/>
  <c r="K153" i="7" s="1"/>
  <c r="J152" i="7"/>
  <c r="K152" i="7" s="1"/>
  <c r="J146" i="7"/>
  <c r="K146" i="7" s="1"/>
  <c r="J135" i="7"/>
  <c r="K135" i="7" s="1"/>
  <c r="J133" i="7"/>
  <c r="K133" i="7" s="1"/>
  <c r="J131" i="7"/>
  <c r="K131" i="7" s="1"/>
  <c r="J128" i="7"/>
  <c r="K128" i="7" s="1"/>
  <c r="J124" i="7"/>
  <c r="K124" i="7" s="1"/>
  <c r="J115" i="7"/>
  <c r="K115" i="7" s="1"/>
  <c r="J113" i="7"/>
  <c r="K113" i="7" s="1"/>
  <c r="J107" i="7"/>
  <c r="K107" i="7" s="1"/>
  <c r="J105" i="7"/>
  <c r="K105" i="7" s="1"/>
  <c r="J99" i="7"/>
  <c r="K99" i="7" s="1"/>
  <c r="J87" i="7"/>
  <c r="K87" i="7" s="1"/>
  <c r="J82" i="7"/>
  <c r="K82" i="7" s="1"/>
  <c r="J79" i="7"/>
  <c r="K79" i="7" s="1"/>
  <c r="J76" i="7"/>
  <c r="K76" i="7" s="1"/>
  <c r="J68" i="7"/>
  <c r="K68" i="7" s="1"/>
  <c r="J63" i="7"/>
  <c r="K63" i="7" s="1"/>
  <c r="J62" i="7"/>
  <c r="K62" i="7" s="1"/>
  <c r="K32" i="6"/>
  <c r="N30" i="12" s="1"/>
  <c r="O30" i="12" s="1"/>
  <c r="K37" i="6"/>
  <c r="N35" i="12" s="1"/>
  <c r="O35" i="12" s="1"/>
  <c r="J52" i="7"/>
  <c r="K52" i="7" s="1"/>
  <c r="J49" i="7"/>
  <c r="K49" i="7" s="1"/>
  <c r="J42" i="7"/>
  <c r="K42" i="7" s="1"/>
  <c r="J39" i="7"/>
  <c r="K39" i="7" s="1"/>
  <c r="J56" i="7"/>
  <c r="K56" i="7" s="1"/>
  <c r="J53" i="7"/>
  <c r="K53" i="7" s="1"/>
  <c r="K28" i="6"/>
  <c r="N26" i="12" s="1"/>
  <c r="O26" i="12" s="1"/>
  <c r="J37" i="7"/>
  <c r="K37" i="7" s="1"/>
  <c r="J33" i="7"/>
  <c r="K33" i="7" s="1"/>
  <c r="K25" i="6"/>
  <c r="N23" i="12" s="1"/>
  <c r="O23" i="12" s="1"/>
  <c r="J191" i="7"/>
  <c r="K191" i="7" s="1"/>
  <c r="J189" i="7"/>
  <c r="K189" i="7" s="1"/>
  <c r="J188" i="7"/>
  <c r="K188" i="7" s="1"/>
  <c r="J187" i="7"/>
  <c r="K187" i="7" s="1"/>
  <c r="J184" i="7"/>
  <c r="K184" i="7" s="1"/>
  <c r="J180" i="7"/>
  <c r="K180" i="7" s="1"/>
  <c r="J177" i="7"/>
  <c r="K177" i="7" s="1"/>
  <c r="J176" i="7"/>
  <c r="K176" i="7" s="1"/>
  <c r="J174" i="7"/>
  <c r="K174" i="7" s="1"/>
  <c r="J171" i="7"/>
  <c r="K171" i="7" s="1"/>
  <c r="J170" i="7"/>
  <c r="K170" i="7" s="1"/>
  <c r="J168" i="7"/>
  <c r="K168" i="7" s="1"/>
  <c r="J139" i="7"/>
  <c r="K139" i="7" s="1"/>
  <c r="J109" i="7"/>
  <c r="K109" i="7" s="1"/>
  <c r="K31" i="6"/>
  <c r="N29" i="12" s="1"/>
  <c r="O29" i="12" s="1"/>
  <c r="J74" i="7"/>
  <c r="K74" i="7" s="1"/>
  <c r="J55" i="7"/>
  <c r="K55" i="7" s="1"/>
  <c r="J48" i="7"/>
  <c r="K48" i="7" s="1"/>
  <c r="J41" i="7"/>
  <c r="K41" i="7" s="1"/>
  <c r="J35" i="7"/>
  <c r="K35" i="7" s="1"/>
  <c r="J29" i="7"/>
  <c r="K29" i="7" s="1"/>
  <c r="K29" i="6"/>
  <c r="J212" i="7"/>
  <c r="K212" i="7" s="1"/>
  <c r="J207" i="7"/>
  <c r="K207" i="7" s="1"/>
  <c r="J164" i="7"/>
  <c r="K164" i="7" s="1"/>
  <c r="J162" i="7"/>
  <c r="K162" i="7" s="1"/>
  <c r="J159" i="7"/>
  <c r="K159" i="7" s="1"/>
  <c r="J157" i="7"/>
  <c r="K157" i="7" s="1"/>
  <c r="J154" i="7"/>
  <c r="K154" i="7" s="1"/>
  <c r="J149" i="7"/>
  <c r="K149" i="7" s="1"/>
  <c r="J148" i="7"/>
  <c r="K148" i="7" s="1"/>
  <c r="J106" i="7"/>
  <c r="K106" i="7" s="1"/>
  <c r="J60" i="7"/>
  <c r="K60" i="7" s="1"/>
  <c r="J47" i="7"/>
  <c r="K47" i="7" s="1"/>
  <c r="J32" i="7"/>
  <c r="K32" i="7" s="1"/>
  <c r="J122" i="7"/>
  <c r="K122" i="7" s="1"/>
  <c r="J119" i="7"/>
  <c r="K119" i="7" s="1"/>
  <c r="J118" i="7"/>
  <c r="K118" i="7" s="1"/>
  <c r="J117" i="7"/>
  <c r="K117" i="7" s="1"/>
  <c r="J116" i="7"/>
  <c r="K116" i="7" s="1"/>
  <c r="J97" i="7"/>
  <c r="K97" i="7" s="1"/>
  <c r="J96" i="7"/>
  <c r="K96" i="7" s="1"/>
  <c r="J94" i="7"/>
  <c r="K94" i="7" s="1"/>
  <c r="K17" i="6"/>
  <c r="N15" i="12" s="1"/>
  <c r="O15" i="12" s="1"/>
  <c r="J91" i="7"/>
  <c r="K91" i="7" s="1"/>
  <c r="J90" i="7"/>
  <c r="K90" i="7" s="1"/>
  <c r="K34" i="6"/>
  <c r="N32" i="12" s="1"/>
  <c r="O32" i="12" s="1"/>
  <c r="J71" i="7"/>
  <c r="K71" i="7" s="1"/>
  <c r="K36" i="6"/>
  <c r="N34" i="12" s="1"/>
  <c r="O34" i="12" s="1"/>
  <c r="J69" i="7"/>
  <c r="K69" i="7" s="1"/>
  <c r="J45" i="7"/>
  <c r="K45" i="7" s="1"/>
  <c r="J44" i="7"/>
  <c r="K44" i="7" s="1"/>
  <c r="J19" i="7"/>
  <c r="K19" i="7" s="1"/>
  <c r="K13" i="6"/>
  <c r="J17" i="7"/>
  <c r="K17" i="7" s="1"/>
  <c r="K11" i="6"/>
  <c r="N9" i="12" s="1"/>
  <c r="O9" i="12" s="1"/>
  <c r="K35" i="6"/>
  <c r="N33" i="12" s="1"/>
  <c r="O33" i="12" s="1"/>
  <c r="K33" i="6"/>
  <c r="N31" i="12" s="1"/>
  <c r="O31" i="12" s="1"/>
  <c r="K30" i="6"/>
  <c r="N28" i="12" s="1"/>
  <c r="O28" i="12" s="1"/>
  <c r="K26" i="6"/>
  <c r="N24" i="12" s="1"/>
  <c r="O24" i="12" s="1"/>
  <c r="K23" i="6"/>
  <c r="N21" i="12" s="1"/>
  <c r="O21" i="12" s="1"/>
  <c r="K22" i="6"/>
  <c r="K20" i="6"/>
  <c r="N18" i="12" s="1"/>
  <c r="O18" i="12" s="1"/>
  <c r="K16" i="6"/>
  <c r="J190" i="7"/>
  <c r="K190" i="7" s="1"/>
  <c r="J179" i="7"/>
  <c r="K179" i="7" s="1"/>
  <c r="J178" i="7"/>
  <c r="K178" i="7" s="1"/>
  <c r="J192" i="7"/>
  <c r="K192" i="7" s="1"/>
  <c r="F17" i="13" l="1"/>
  <c r="F23" i="13"/>
  <c r="G23" i="13"/>
  <c r="P8" i="12"/>
  <c r="Q8" i="12" s="1"/>
  <c r="G21" i="13"/>
  <c r="G22" i="13"/>
  <c r="D35" i="8"/>
  <c r="F35" i="8" s="1"/>
  <c r="H35" i="8" s="1"/>
  <c r="K35" i="8" s="1"/>
  <c r="L35" i="8" s="1"/>
  <c r="M35" i="8" s="1"/>
  <c r="M19" i="12" s="1"/>
  <c r="P19" i="12" s="1"/>
  <c r="Q19" i="12" s="1"/>
  <c r="I20" i="11"/>
  <c r="D22" i="8"/>
  <c r="I7" i="11"/>
  <c r="D23" i="8"/>
  <c r="F23" i="8" s="1"/>
  <c r="H23" i="8" s="1"/>
  <c r="K23" i="8" s="1"/>
  <c r="L23" i="8" s="1"/>
  <c r="M23" i="8" s="1"/>
  <c r="M7" i="12" s="1"/>
  <c r="P7" i="12" s="1"/>
  <c r="Q7" i="12" s="1"/>
  <c r="I8" i="11"/>
  <c r="D45" i="8"/>
  <c r="F45" i="8" s="1"/>
  <c r="H45" i="8" s="1"/>
  <c r="K45" i="8" s="1"/>
  <c r="L45" i="8" s="1"/>
  <c r="M45" i="8" s="1"/>
  <c r="M29" i="12" s="1"/>
  <c r="P29" i="12" s="1"/>
  <c r="Q29" i="12" s="1"/>
  <c r="I30" i="11"/>
  <c r="D31" i="8"/>
  <c r="F31" i="8" s="1"/>
  <c r="H31" i="8" s="1"/>
  <c r="K31" i="8" s="1"/>
  <c r="L31" i="8" s="1"/>
  <c r="M31" i="8" s="1"/>
  <c r="M15" i="12" s="1"/>
  <c r="P15" i="12" s="1"/>
  <c r="Q15" i="12" s="1"/>
  <c r="I16" i="11"/>
  <c r="D48" i="8"/>
  <c r="F48" i="8" s="1"/>
  <c r="H48" i="8" s="1"/>
  <c r="K48" i="8" s="1"/>
  <c r="L48" i="8" s="1"/>
  <c r="M48" i="8" s="1"/>
  <c r="M32" i="12" s="1"/>
  <c r="P32" i="12" s="1"/>
  <c r="Q32" i="12" s="1"/>
  <c r="I33" i="11"/>
  <c r="D38" i="8"/>
  <c r="F38" i="8" s="1"/>
  <c r="H38" i="8" s="1"/>
  <c r="K38" i="8" s="1"/>
  <c r="L38" i="8" s="1"/>
  <c r="M38" i="8" s="1"/>
  <c r="M22" i="12" s="1"/>
  <c r="P22" i="12" s="1"/>
  <c r="Q22" i="12" s="1"/>
  <c r="I23" i="11"/>
  <c r="D50" i="8"/>
  <c r="F50" i="8" s="1"/>
  <c r="H50" i="8" s="1"/>
  <c r="K50" i="8" s="1"/>
  <c r="L50" i="8" s="1"/>
  <c r="M50" i="8" s="1"/>
  <c r="M34" i="12" s="1"/>
  <c r="P34" i="12" s="1"/>
  <c r="Q34" i="12" s="1"/>
  <c r="I35" i="11"/>
  <c r="D46" i="8"/>
  <c r="F46" i="8" s="1"/>
  <c r="H46" i="8" s="1"/>
  <c r="K46" i="8" s="1"/>
  <c r="L46" i="8" s="1"/>
  <c r="M46" i="8" s="1"/>
  <c r="M30" i="12" s="1"/>
  <c r="P30" i="12" s="1"/>
  <c r="Q30" i="12" s="1"/>
  <c r="I31" i="11"/>
  <c r="D51" i="8"/>
  <c r="F51" i="8" s="1"/>
  <c r="H51" i="8" s="1"/>
  <c r="K51" i="8" s="1"/>
  <c r="L51" i="8" s="1"/>
  <c r="M51" i="8" s="1"/>
  <c r="M35" i="12" s="1"/>
  <c r="P35" i="12" s="1"/>
  <c r="Q35" i="12" s="1"/>
  <c r="I36" i="11"/>
  <c r="D42" i="8"/>
  <c r="F42" i="8" s="1"/>
  <c r="H42" i="8" s="1"/>
  <c r="K42" i="8" s="1"/>
  <c r="L42" i="8" s="1"/>
  <c r="M42" i="8" s="1"/>
  <c r="M26" i="12" s="1"/>
  <c r="P26" i="12" s="1"/>
  <c r="Q26" i="12" s="1"/>
  <c r="I27" i="11"/>
  <c r="D29" i="8"/>
  <c r="F29" i="8" s="1"/>
  <c r="H29" i="8" s="1"/>
  <c r="K29" i="8" s="1"/>
  <c r="L29" i="8" s="1"/>
  <c r="M29" i="8" s="1"/>
  <c r="M13" i="12" s="1"/>
  <c r="P13" i="12" s="1"/>
  <c r="Q13" i="12" s="1"/>
  <c r="I14" i="11"/>
  <c r="D43" i="8"/>
  <c r="F43" i="8" s="1"/>
  <c r="H43" i="8" s="1"/>
  <c r="I28" i="11"/>
  <c r="D41" i="8"/>
  <c r="F41" i="8" s="1"/>
  <c r="H41" i="8" s="1"/>
  <c r="K41" i="8" s="1"/>
  <c r="L41" i="8" s="1"/>
  <c r="M41" i="8" s="1"/>
  <c r="M25" i="12" s="1"/>
  <c r="P25" i="12" s="1"/>
  <c r="Q25" i="12" s="1"/>
  <c r="I26" i="11"/>
  <c r="D39" i="8"/>
  <c r="F39" i="8" s="1"/>
  <c r="H39" i="8" s="1"/>
  <c r="K39" i="8" s="1"/>
  <c r="L39" i="8" s="1"/>
  <c r="M39" i="8" s="1"/>
  <c r="M23" i="12" s="1"/>
  <c r="P23" i="12" s="1"/>
  <c r="Q23" i="12" s="1"/>
  <c r="I24" i="11"/>
  <c r="D33" i="8"/>
  <c r="F33" i="8" s="1"/>
  <c r="H33" i="8" s="1"/>
  <c r="K33" i="8" s="1"/>
  <c r="L33" i="8" s="1"/>
  <c r="M33" i="8" s="1"/>
  <c r="M17" i="12" s="1"/>
  <c r="P17" i="12" s="1"/>
  <c r="Q17" i="12" s="1"/>
  <c r="I18" i="11"/>
  <c r="D32" i="8"/>
  <c r="F32" i="8" s="1"/>
  <c r="H32" i="8" s="1"/>
  <c r="K32" i="8" s="1"/>
  <c r="L32" i="8" s="1"/>
  <c r="M32" i="8" s="1"/>
  <c r="M16" i="12" s="1"/>
  <c r="I17" i="11"/>
  <c r="D27" i="8"/>
  <c r="F27" i="8" s="1"/>
  <c r="H27" i="8" s="1"/>
  <c r="K27" i="8" s="1"/>
  <c r="L27" i="8" s="1"/>
  <c r="M27" i="8" s="1"/>
  <c r="M11" i="12" s="1"/>
  <c r="P11" i="12" s="1"/>
  <c r="I12" i="11"/>
  <c r="D25" i="8"/>
  <c r="F25" i="8" s="1"/>
  <c r="H25" i="8" s="1"/>
  <c r="K25" i="8" s="1"/>
  <c r="L25" i="8" s="1"/>
  <c r="M25" i="8" s="1"/>
  <c r="M9" i="12" s="1"/>
  <c r="P9" i="12" s="1"/>
  <c r="Q9" i="12" s="1"/>
  <c r="I10" i="11"/>
  <c r="D49" i="8"/>
  <c r="F49" i="8" s="1"/>
  <c r="H49" i="8" s="1"/>
  <c r="K49" i="8" s="1"/>
  <c r="L49" i="8" s="1"/>
  <c r="M49" i="8" s="1"/>
  <c r="M33" i="12" s="1"/>
  <c r="P33" i="12" s="1"/>
  <c r="Q33" i="12" s="1"/>
  <c r="I34" i="11"/>
  <c r="D47" i="8"/>
  <c r="F47" i="8" s="1"/>
  <c r="H47" i="8" s="1"/>
  <c r="K47" i="8" s="1"/>
  <c r="L47" i="8" s="1"/>
  <c r="M47" i="8" s="1"/>
  <c r="M31" i="12" s="1"/>
  <c r="P31" i="12" s="1"/>
  <c r="Q31" i="12" s="1"/>
  <c r="I32" i="11"/>
  <c r="D44" i="8"/>
  <c r="F44" i="8" s="1"/>
  <c r="H44" i="8" s="1"/>
  <c r="K44" i="8" s="1"/>
  <c r="L44" i="8" s="1"/>
  <c r="M44" i="8" s="1"/>
  <c r="M28" i="12" s="1"/>
  <c r="P28" i="12" s="1"/>
  <c r="Q28" i="12" s="1"/>
  <c r="I29" i="11"/>
  <c r="D40" i="8"/>
  <c r="F40" i="8" s="1"/>
  <c r="H40" i="8" s="1"/>
  <c r="K40" i="8" s="1"/>
  <c r="L40" i="8" s="1"/>
  <c r="M40" i="8" s="1"/>
  <c r="M24" i="12" s="1"/>
  <c r="P24" i="12" s="1"/>
  <c r="Q24" i="12" s="1"/>
  <c r="I25" i="11"/>
  <c r="D37" i="8"/>
  <c r="F37" i="8" s="1"/>
  <c r="H37" i="8" s="1"/>
  <c r="K37" i="8" s="1"/>
  <c r="L37" i="8" s="1"/>
  <c r="M37" i="8" s="1"/>
  <c r="M21" i="12" s="1"/>
  <c r="P21" i="12" s="1"/>
  <c r="Q21" i="12" s="1"/>
  <c r="I22" i="11"/>
  <c r="D36" i="8"/>
  <c r="F36" i="8" s="1"/>
  <c r="H36" i="8" s="1"/>
  <c r="K36" i="8" s="1"/>
  <c r="L36" i="8" s="1"/>
  <c r="M36" i="8" s="1"/>
  <c r="M20" i="12" s="1"/>
  <c r="P20" i="12" s="1"/>
  <c r="I21" i="11"/>
  <c r="D34" i="8"/>
  <c r="F34" i="8" s="1"/>
  <c r="H34" i="8" s="1"/>
  <c r="K34" i="8" s="1"/>
  <c r="L34" i="8" s="1"/>
  <c r="M34" i="8" s="1"/>
  <c r="M18" i="12" s="1"/>
  <c r="P18" i="12" s="1"/>
  <c r="Q18" i="12" s="1"/>
  <c r="I19" i="11"/>
  <c r="D30" i="8"/>
  <c r="F30" i="8" s="1"/>
  <c r="H30" i="8" s="1"/>
  <c r="K30" i="8" s="1"/>
  <c r="L30" i="8" s="1"/>
  <c r="M30" i="8" s="1"/>
  <c r="M14" i="12" s="1"/>
  <c r="I15" i="11"/>
  <c r="D28" i="8"/>
  <c r="F28" i="8" s="1"/>
  <c r="H28" i="8" s="1"/>
  <c r="K28" i="8" s="1"/>
  <c r="L28" i="8" s="1"/>
  <c r="M28" i="8" s="1"/>
  <c r="M12" i="12" s="1"/>
  <c r="P12" i="12" s="1"/>
  <c r="Q12" i="12" s="1"/>
  <c r="I13" i="11"/>
  <c r="D26" i="8"/>
  <c r="F26" i="8" s="1"/>
  <c r="H26" i="8" s="1"/>
  <c r="K26" i="8" s="1"/>
  <c r="L26" i="8" s="1"/>
  <c r="M26" i="8" s="1"/>
  <c r="M10" i="12" s="1"/>
  <c r="I11" i="11"/>
  <c r="C22" i="14"/>
  <c r="N27" i="12"/>
  <c r="O27" i="12" s="1"/>
  <c r="G18" i="13"/>
  <c r="N11" i="12"/>
  <c r="G20" i="13"/>
  <c r="N20" i="12"/>
  <c r="O20" i="12" s="1"/>
  <c r="G19" i="13"/>
  <c r="N14" i="12"/>
  <c r="O14" i="12" s="1"/>
  <c r="J48" i="6"/>
  <c r="B9" i="13"/>
  <c r="J3" i="6"/>
  <c r="C21" i="14"/>
  <c r="C13" i="15"/>
  <c r="M6" i="6"/>
  <c r="M7" i="6"/>
  <c r="L6" i="6"/>
  <c r="L7" i="6"/>
  <c r="AP6" i="6"/>
  <c r="AP7" i="6"/>
  <c r="AO6" i="6"/>
  <c r="AO7" i="6"/>
  <c r="AN6" i="6"/>
  <c r="AN7" i="6"/>
  <c r="AM6" i="6"/>
  <c r="AM7" i="6"/>
  <c r="AL6" i="6"/>
  <c r="AL7" i="6"/>
  <c r="AK6" i="6"/>
  <c r="AK7" i="6"/>
  <c r="AJ6" i="6"/>
  <c r="AJ7" i="6"/>
  <c r="AI6" i="6"/>
  <c r="AI7" i="6"/>
  <c r="AH6" i="6"/>
  <c r="AH7" i="6"/>
  <c r="AG6" i="6"/>
  <c r="AG7" i="6"/>
  <c r="AF6" i="6"/>
  <c r="AF7" i="6"/>
  <c r="AE6" i="6"/>
  <c r="AE7" i="6"/>
  <c r="AD6" i="6"/>
  <c r="AD7" i="6"/>
  <c r="AC6" i="6"/>
  <c r="AC7" i="6"/>
  <c r="AB6" i="6"/>
  <c r="AB7" i="6"/>
  <c r="AA6" i="6"/>
  <c r="AA7" i="6"/>
  <c r="Z6" i="6"/>
  <c r="Z7" i="6"/>
  <c r="Y6" i="6"/>
  <c r="Y7" i="6"/>
  <c r="X6" i="6"/>
  <c r="X7" i="6"/>
  <c r="W6" i="6"/>
  <c r="W7" i="6"/>
  <c r="V6" i="6"/>
  <c r="V7" i="6"/>
  <c r="U6" i="6"/>
  <c r="U7" i="6"/>
  <c r="T6" i="6"/>
  <c r="T7" i="6"/>
  <c r="S6" i="6"/>
  <c r="S7" i="6"/>
  <c r="R6" i="6"/>
  <c r="R7" i="6"/>
  <c r="Q6" i="6"/>
  <c r="Q7" i="6"/>
  <c r="P6" i="6"/>
  <c r="P7" i="6"/>
  <c r="O6" i="6"/>
  <c r="O7" i="6"/>
  <c r="N6" i="6"/>
  <c r="N7" i="6"/>
  <c r="K16" i="12"/>
  <c r="J16" i="12"/>
  <c r="L16" i="12"/>
  <c r="L14" i="12"/>
  <c r="K14" i="12"/>
  <c r="J10" i="12"/>
  <c r="J46" i="12" s="1"/>
  <c r="L10" i="12"/>
  <c r="L46" i="12" s="1"/>
  <c r="K10" i="12"/>
  <c r="O6" i="12"/>
  <c r="D46" i="12"/>
  <c r="BI35" i="10"/>
  <c r="R35" i="10"/>
  <c r="T34" i="10"/>
  <c r="H35" i="11"/>
  <c r="BI33" i="10"/>
  <c r="R33" i="10"/>
  <c r="BI31" i="10"/>
  <c r="R31" i="10"/>
  <c r="BI30" i="10"/>
  <c r="R30" i="10" s="1"/>
  <c r="BH26" i="10"/>
  <c r="BI26" i="10" s="1"/>
  <c r="R26" i="10"/>
  <c r="H26" i="11"/>
  <c r="T25" i="10"/>
  <c r="T23" i="10"/>
  <c r="H24" i="11"/>
  <c r="G23" i="11"/>
  <c r="T22" i="10"/>
  <c r="H22" i="11"/>
  <c r="T21" i="10"/>
  <c r="BI20" i="10"/>
  <c r="R20" i="10"/>
  <c r="BI18" i="10"/>
  <c r="R18" i="10" s="1"/>
  <c r="H18" i="11"/>
  <c r="T17" i="10"/>
  <c r="H17" i="11"/>
  <c r="T16" i="10"/>
  <c r="BI15" i="10"/>
  <c r="R15" i="10"/>
  <c r="BE14" i="10"/>
  <c r="BF14" i="10" s="1"/>
  <c r="BG14" i="10" s="1"/>
  <c r="BI13" i="10"/>
  <c r="R13" i="10" s="1"/>
  <c r="H13" i="11"/>
  <c r="T12" i="10"/>
  <c r="G12" i="11"/>
  <c r="T11" i="10"/>
  <c r="BI10" i="10"/>
  <c r="R10" i="10" s="1"/>
  <c r="BD7" i="10"/>
  <c r="R7" i="10" s="1"/>
  <c r="H27" i="9"/>
  <c r="K27" i="9" s="1"/>
  <c r="C25" i="14"/>
  <c r="C29" i="14"/>
  <c r="M27" i="9"/>
  <c r="C30" i="14" s="1"/>
  <c r="D9" i="13"/>
  <c r="K48" i="6"/>
  <c r="G17" i="13"/>
  <c r="R29" i="10"/>
  <c r="R28" i="10"/>
  <c r="R27" i="10"/>
  <c r="R24" i="10"/>
  <c r="R8" i="10"/>
  <c r="R6" i="10"/>
  <c r="R19" i="10"/>
  <c r="R9" i="10"/>
  <c r="R32" i="10"/>
  <c r="Q20" i="12" l="1"/>
  <c r="P14" i="12"/>
  <c r="Q14" i="12" s="1"/>
  <c r="F22" i="8"/>
  <c r="H22" i="8" s="1"/>
  <c r="D62" i="8"/>
  <c r="K43" i="8"/>
  <c r="L43" i="8" s="1"/>
  <c r="C33" i="14"/>
  <c r="O11" i="12"/>
  <c r="Q11" i="12" s="1"/>
  <c r="N46" i="12"/>
  <c r="E8" i="6"/>
  <c r="E9" i="6"/>
  <c r="I9" i="6" s="1"/>
  <c r="E8" i="11" s="1"/>
  <c r="E10" i="6"/>
  <c r="I10" i="6" s="1"/>
  <c r="E9" i="11" s="1"/>
  <c r="E11" i="6"/>
  <c r="I11" i="6" s="1"/>
  <c r="E10" i="11" s="1"/>
  <c r="E12" i="6"/>
  <c r="I12" i="6" s="1"/>
  <c r="E13" i="6"/>
  <c r="I13" i="6" s="1"/>
  <c r="E12" i="11" s="1"/>
  <c r="J12" i="11" s="1"/>
  <c r="K12" i="11" s="1"/>
  <c r="E17" i="6"/>
  <c r="I17" i="6" s="1"/>
  <c r="E16" i="11" s="1"/>
  <c r="E19" i="6"/>
  <c r="I19" i="6" s="1"/>
  <c r="E18" i="11" s="1"/>
  <c r="J18" i="11" s="1"/>
  <c r="K18" i="11" s="1"/>
  <c r="E20" i="6"/>
  <c r="I20" i="6" s="1"/>
  <c r="E19" i="11" s="1"/>
  <c r="E21" i="6"/>
  <c r="I21" i="6" s="1"/>
  <c r="E22" i="6"/>
  <c r="I22" i="6" s="1"/>
  <c r="E21" i="11" s="1"/>
  <c r="E23" i="6"/>
  <c r="I23" i="6" s="1"/>
  <c r="E22" i="11" s="1"/>
  <c r="J22" i="11" s="1"/>
  <c r="K22" i="11" s="1"/>
  <c r="E24" i="6"/>
  <c r="I24" i="6" s="1"/>
  <c r="E25" i="6"/>
  <c r="I25" i="6" s="1"/>
  <c r="E24" i="11" s="1"/>
  <c r="J24" i="11" s="1"/>
  <c r="K24" i="11" s="1"/>
  <c r="E26" i="6"/>
  <c r="I26" i="6" s="1"/>
  <c r="E25" i="11" s="1"/>
  <c r="E27" i="6"/>
  <c r="I27" i="6" s="1"/>
  <c r="E26" i="11" s="1"/>
  <c r="J26" i="11" s="1"/>
  <c r="K26" i="11" s="1"/>
  <c r="E28" i="6"/>
  <c r="I28" i="6" s="1"/>
  <c r="E29" i="6"/>
  <c r="E30" i="6"/>
  <c r="I30" i="6" s="1"/>
  <c r="E29" i="11" s="1"/>
  <c r="E31" i="6"/>
  <c r="I31" i="6" s="1"/>
  <c r="E30" i="11" s="1"/>
  <c r="E32" i="6"/>
  <c r="I32" i="6" s="1"/>
  <c r="E33" i="6"/>
  <c r="I33" i="6" s="1"/>
  <c r="E32" i="11" s="1"/>
  <c r="E34" i="6"/>
  <c r="I34" i="6" s="1"/>
  <c r="E33" i="11" s="1"/>
  <c r="E35" i="6"/>
  <c r="I35" i="6" s="1"/>
  <c r="E34" i="11" s="1"/>
  <c r="E36" i="6"/>
  <c r="I36" i="6" s="1"/>
  <c r="E35" i="11" s="1"/>
  <c r="J35" i="11" s="1"/>
  <c r="K35" i="11" s="1"/>
  <c r="E16" i="6"/>
  <c r="I16" i="6" s="1"/>
  <c r="E14" i="6"/>
  <c r="I14" i="6" s="1"/>
  <c r="E13" i="11" s="1"/>
  <c r="J13" i="11" s="1"/>
  <c r="K13" i="11" s="1"/>
  <c r="E15" i="6"/>
  <c r="I15" i="6" s="1"/>
  <c r="E14" i="11" s="1"/>
  <c r="E18" i="6"/>
  <c r="I18" i="6" s="1"/>
  <c r="E17" i="11" s="1"/>
  <c r="J17" i="11" s="1"/>
  <c r="K17" i="11" s="1"/>
  <c r="E37" i="6"/>
  <c r="I37" i="6" s="1"/>
  <c r="E36" i="11" s="1"/>
  <c r="H36" i="11"/>
  <c r="T35" i="10"/>
  <c r="H34" i="11"/>
  <c r="T33" i="10"/>
  <c r="T31" i="10"/>
  <c r="H32" i="11"/>
  <c r="T30" i="10"/>
  <c r="H31" i="11"/>
  <c r="H27" i="11"/>
  <c r="T26" i="10"/>
  <c r="T20" i="10"/>
  <c r="H21" i="11"/>
  <c r="J21" i="11" s="1"/>
  <c r="K21" i="11" s="1"/>
  <c r="H19" i="11"/>
  <c r="T18" i="10"/>
  <c r="H16" i="11"/>
  <c r="T15" i="10"/>
  <c r="T13" i="10"/>
  <c r="H14" i="11"/>
  <c r="H11" i="11"/>
  <c r="T10" i="10"/>
  <c r="H8" i="11"/>
  <c r="T7" i="10"/>
  <c r="N27" i="9"/>
  <c r="C28" i="14"/>
  <c r="H30" i="11"/>
  <c r="T29" i="10"/>
  <c r="T28" i="10"/>
  <c r="H29" i="11"/>
  <c r="C11" i="15"/>
  <c r="H28" i="11"/>
  <c r="J28" i="11" s="1"/>
  <c r="K28" i="11" s="1"/>
  <c r="B16" i="15"/>
  <c r="T27" i="10"/>
  <c r="H25" i="11"/>
  <c r="J25" i="11" s="1"/>
  <c r="K25" i="11" s="1"/>
  <c r="T24" i="10"/>
  <c r="T8" i="10"/>
  <c r="H9" i="11"/>
  <c r="J9" i="11" s="1"/>
  <c r="K9" i="11" s="1"/>
  <c r="H7" i="11"/>
  <c r="T6" i="10"/>
  <c r="T19" i="10"/>
  <c r="H20" i="11"/>
  <c r="T9" i="10"/>
  <c r="H10" i="11"/>
  <c r="J10" i="11" s="1"/>
  <c r="K10" i="11" s="1"/>
  <c r="H33" i="11"/>
  <c r="J33" i="11" s="1"/>
  <c r="K33" i="11" s="1"/>
  <c r="T32" i="10"/>
  <c r="P10" i="12"/>
  <c r="Q10" i="12" s="1"/>
  <c r="K46" i="12"/>
  <c r="P16" i="12"/>
  <c r="Q16" i="12" s="1"/>
  <c r="BH14" i="10"/>
  <c r="BI14" i="10" s="1"/>
  <c r="BJ14" i="10" s="1"/>
  <c r="BK14" i="10" s="1"/>
  <c r="BL14" i="10" s="1"/>
  <c r="BM14" i="10" s="1"/>
  <c r="R14" i="10"/>
  <c r="F3" i="12" l="1"/>
  <c r="O46" i="12"/>
  <c r="K22" i="8"/>
  <c r="H62" i="8"/>
  <c r="M43" i="8"/>
  <c r="C35" i="14"/>
  <c r="I8" i="6"/>
  <c r="E48" i="6"/>
  <c r="D18" i="13"/>
  <c r="E11" i="11"/>
  <c r="J11" i="11" s="1"/>
  <c r="K11" i="11" s="1"/>
  <c r="E20" i="11"/>
  <c r="J20" i="11" s="1"/>
  <c r="K20" i="11" s="1"/>
  <c r="D20" i="13"/>
  <c r="D21" i="13"/>
  <c r="E23" i="11"/>
  <c r="J23" i="11" s="1"/>
  <c r="K23" i="11" s="1"/>
  <c r="E27" i="11"/>
  <c r="J27" i="11" s="1"/>
  <c r="K27" i="11" s="1"/>
  <c r="I29" i="6"/>
  <c r="D22" i="13" s="1"/>
  <c r="C16" i="14"/>
  <c r="D23" i="13"/>
  <c r="E31" i="11"/>
  <c r="J31" i="11" s="1"/>
  <c r="K31" i="11" s="1"/>
  <c r="D19" i="13"/>
  <c r="E15" i="11"/>
  <c r="H15" i="11"/>
  <c r="J15" i="11" s="1"/>
  <c r="K15" i="11" s="1"/>
  <c r="T14" i="10"/>
  <c r="J19" i="11"/>
  <c r="K19" i="11" s="1"/>
  <c r="J16" i="11"/>
  <c r="K16" i="11" s="1"/>
  <c r="J14" i="11"/>
  <c r="K14" i="11" s="1"/>
  <c r="J36" i="11"/>
  <c r="K36" i="11" s="1"/>
  <c r="J34" i="11"/>
  <c r="K34" i="11" s="1"/>
  <c r="J32" i="11"/>
  <c r="K32" i="11" s="1"/>
  <c r="J8" i="11"/>
  <c r="K8" i="11" s="1"/>
  <c r="J30" i="11"/>
  <c r="K30" i="11" s="1"/>
  <c r="J29" i="11"/>
  <c r="K29" i="11" s="1"/>
  <c r="K62" i="8" l="1"/>
  <c r="L22" i="8"/>
  <c r="M27" i="12"/>
  <c r="P27" i="12" s="1"/>
  <c r="C36" i="14"/>
  <c r="D17" i="13"/>
  <c r="E7" i="11"/>
  <c r="J7" i="11" s="1"/>
  <c r="I48" i="6"/>
  <c r="D6" i="13"/>
  <c r="B12" i="13"/>
  <c r="D12" i="13"/>
  <c r="H3" i="6"/>
  <c r="E28" i="11"/>
  <c r="C20" i="14"/>
  <c r="M22" i="8" l="1"/>
  <c r="L62" i="8"/>
  <c r="Q27" i="12"/>
  <c r="C38" i="14" s="1"/>
  <c r="C37" i="14"/>
  <c r="K7" i="11"/>
  <c r="C3" i="11"/>
  <c r="F3" i="11"/>
  <c r="F12" i="13"/>
  <c r="I3" i="11"/>
  <c r="F9" i="13" l="1"/>
  <c r="M62" i="8"/>
  <c r="M6" i="12"/>
  <c r="P6" i="12" l="1"/>
  <c r="P46" i="12" s="1"/>
  <c r="M46" i="12"/>
  <c r="C3" i="12" l="1"/>
  <c r="Q6" i="12"/>
  <c r="I3" i="12" l="1"/>
  <c r="Q46" i="12"/>
</calcChain>
</file>

<file path=xl/sharedStrings.xml><?xml version="1.0" encoding="utf-8"?>
<sst xmlns="http://schemas.openxmlformats.org/spreadsheetml/2006/main" count="1935" uniqueCount="475">
  <si>
    <t>نظام متابعة الحضور والانصراف — السعودية</t>
  </si>
  <si>
    <t>نظام العمل السعودي وتعديلاته النافذة 19/02/2025</t>
  </si>
  <si>
    <t>ما هذا الملف</t>
  </si>
  <si>
    <t>نظام متكامل لمتابعة الحضور والانصراف والإجازات والجزاءات، مبنيّ على خمس عشرة ورقة مترابطة. كل رقم نظامي في هذا الملف موجود في ورقة «الإعدادات» أو «الجزاءات» — ولا يوجد أي رقم مدفون داخل الصيغ. عند تغيير الشهر أو السنة أو العطلة الأسبوعية تتحدّث كل الأوراق تلقائياً.</t>
  </si>
  <si>
    <t>خريطة الأوراق</t>
  </si>
  <si>
    <t>الورقة</t>
  </si>
  <si>
    <t>وظيفتها</t>
  </si>
  <si>
    <t>من يُدخل فيها</t>
  </si>
  <si>
    <t>المرحلة</t>
  </si>
  <si>
    <t>الإعدادات</t>
  </si>
  <si>
    <t>كل ثوابت النظام: الفترة، الدوام، بنك التسامح، سقوف الجزاء، عتبات الغياب، معاملات الإضافي</t>
  </si>
  <si>
    <t>الموارد البشرية — مرة واحدة</t>
  </si>
  <si>
    <t>١</t>
  </si>
  <si>
    <t>الرموز</t>
  </si>
  <si>
    <t>تعريف رموز الحالة وأثر كل رمز على الحضور والأجر والرصيد</t>
  </si>
  <si>
    <t>مرجع — لا يُعدَّل عادة</t>
  </si>
  <si>
    <t>الموظفون</t>
  </si>
  <si>
    <t>ملف الموظفين: التعيين، العقد، الأجر، أيام الراحة، أوقات الدوام</t>
  </si>
  <si>
    <t>الموارد البشرية</t>
  </si>
  <si>
    <t>التقويم</t>
  </si>
  <si>
    <t>تقويم العطل الرسمية — يُعبَّأ مرة واحدة في بداية السنة</t>
  </si>
  <si>
    <t>الموارد البشرية — سنوياً</t>
  </si>
  <si>
    <t>الحضور</t>
  </si>
  <si>
    <t>مصفوفة الحضور الشهرية بالرموز — الورقة الرئيسية</t>
  </si>
  <si>
    <t>المشرف / الموارد البشرية — يومياً</t>
  </si>
  <si>
    <t>٢</t>
  </si>
  <si>
    <t>التوقيت</t>
  </si>
  <si>
    <t>سجل الحضور والانصراف بالوقت الفعلي، ومنه تُحسب دقائق التأخير</t>
  </si>
  <si>
    <t>المشرف أو استيراد من جهاز البصمة</t>
  </si>
  <si>
    <t>الجزاءات</t>
  </si>
  <si>
    <t>جداول شرائح التأخير والغياب، واحتساب الجزاء الشهري لكل موظف</t>
  </si>
  <si>
    <t>مرجع + احتساب آلي</t>
  </si>
  <si>
    <t>٣</t>
  </si>
  <si>
    <t>الأرصدة</t>
  </si>
  <si>
    <t>أرصدة الإجازات: الاستحقاق والمستهلك والمتبقي</t>
  </si>
  <si>
    <t>احتساب آلي + رصيد مرحّل يدوي</t>
  </si>
  <si>
    <t>٤</t>
  </si>
  <si>
    <t>التجميع</t>
  </si>
  <si>
    <t>التجميع السنوي وحساب أطول سلسلة غياب متصلة</t>
  </si>
  <si>
    <t>تُرحَّل إليه أرقام كل شهر</t>
  </si>
  <si>
    <t>التنبيهات</t>
  </si>
  <si>
    <t>التنبيهات النظامية — متى يصبح الإنذار الكتابي واجباً</t>
  </si>
  <si>
    <t>قراءة فقط</t>
  </si>
  <si>
    <t>٥</t>
  </si>
  <si>
    <t>الرواتب</t>
  </si>
  <si>
    <t>مخرج الرواتب جاهز للتصدير</t>
  </si>
  <si>
    <t>المؤشرات</t>
  </si>
  <si>
    <t>لوحة المؤشرات الشهرية وتحليل الأقسام</t>
  </si>
  <si>
    <t>الكشف</t>
  </si>
  <si>
    <t>كشف حساب فردي — يُطبع ويُسلَّم للموظف</t>
  </si>
  <si>
    <t>اختيار الرقم الوظيفي فقط</t>
  </si>
  <si>
    <t>الإنذار</t>
  </si>
  <si>
    <t>مولّد خطاب الإنذار الكتابي</t>
  </si>
  <si>
    <t>قاعدة الألوان</t>
  </si>
  <si>
    <t>خلية ذهبية = خلية إدخال، وهي الوحيدة التي تُعدَّل</t>
  </si>
  <si>
    <t>خلية رمادية = صيغة محسوبة، لا تُعدَّل</t>
  </si>
  <si>
    <t>شريط ذهبي = عنوان قسم</t>
  </si>
  <si>
    <t>خلفية حمراء = تنبيه يستوجب إجراءً نظامياً</t>
  </si>
  <si>
    <t>⚠ المادة 67: لا يجوز توقيع أي جزاء غير وارد في لائحة تنظيم العمل المعتمدة عبر «قوى».</t>
  </si>
  <si>
    <t>■ سجل الحضور والانصراف إلزامي بنص المادة 5 من اللائحة التنفيذية — يجب أن يُثبت وقت الحضور ووقت الانصراف.</t>
  </si>
  <si>
    <t>■ يُغذّي هذا الملف: نظام حماية الأجور (WPS) · منصة قوى · مدد. أي نقص في المبلغ المحوَّل يستوجب مبرراً موثقاً.</t>
  </si>
  <si>
    <t>مدة الاحتفاظ بالسجلات: 5 سنوات على الأقل. بيانات الموظفين والحضور في هذا الملف بيانات تجريبية لعرض التشغيل — تُستبدل ببيانات المنشأة.</t>
  </si>
  <si>
    <t>الإعدادات العامة للنظام</t>
  </si>
  <si>
    <t>الخلايا الذهبية فقط هي القابلة للتعديل — وكل ما عداها محسوب أو مرجعي</t>
  </si>
  <si>
    <t>هوية النظام</t>
  </si>
  <si>
    <t>الدولة / المرجع النظامي</t>
  </si>
  <si>
    <t>المملكة العربية السعودية</t>
  </si>
  <si>
    <t>الإطار القانوني</t>
  </si>
  <si>
    <t>SA — نظام العمل السعودي</t>
  </si>
  <si>
    <t>يُحدِّد كل الجداول والعتبات في هذا الملف</t>
  </si>
  <si>
    <t>اسم المنشأة</t>
  </si>
  <si>
    <t>يظهر في كشف الموظف وخطاب الإنذار</t>
  </si>
  <si>
    <t>رقم الإصدار</t>
  </si>
  <si>
    <t>1.0</t>
  </si>
  <si>
    <t>يُحدَّث عند أي تعديل على بنية الملف</t>
  </si>
  <si>
    <t>تاريخ المراجعة</t>
  </si>
  <si>
    <t>آخر مراجعة للنظام</t>
  </si>
  <si>
    <t>فترة التقرير</t>
  </si>
  <si>
    <t>السنة</t>
  </si>
  <si>
    <t>تُحدِّث كل التواريخ في الملف</t>
  </si>
  <si>
    <t>الشهر</t>
  </si>
  <si>
    <t>رقم من 1 إلى 12</t>
  </si>
  <si>
    <t>الفترة</t>
  </si>
  <si>
    <t>محسوبة</t>
  </si>
  <si>
    <t>عدد أيام الشهر</t>
  </si>
  <si>
    <t>العطلة الأسبوعية</t>
  </si>
  <si>
    <t>الجمعة-السبت</t>
  </si>
  <si>
    <t>تُظلَّل أعمدتها تلقائياً في ورقة الحضور</t>
  </si>
  <si>
    <t>رقم يوم الراحة الأول</t>
  </si>
  <si>
    <t>1=الأحد … 6=الجمعة، 7=السبت</t>
  </si>
  <si>
    <t>رقم يوم الراحة الثاني</t>
  </si>
  <si>
    <t>0 = لا يوجد يوم راحة ثانٍ</t>
  </si>
  <si>
    <t>الدوام وساعات العمل</t>
  </si>
  <si>
    <t>ساعات العمل اليومية</t>
  </si>
  <si>
    <t>الحد النظامي 8 ساعات</t>
  </si>
  <si>
    <t>ساعات العمل الأسبوعية</t>
  </si>
  <si>
    <t>الحد النظامي 48 ساعة</t>
  </si>
  <si>
    <t>هل الشهر رمضان؟</t>
  </si>
  <si>
    <t>لا</t>
  </si>
  <si>
    <t>6 ساعات للموظف المسلم دون خفض الأجر — المادة 98</t>
  </si>
  <si>
    <t>ساعات الدوام المعتمدة هذا الشهر</t>
  </si>
  <si>
    <t>محسوبة — تتغيّر تلقائياً في رمضان</t>
  </si>
  <si>
    <t>مقسوم أجر اليوم</t>
  </si>
  <si>
    <t>الأجر الشهري ÷ هذا الرقم = أجر اليوم</t>
  </si>
  <si>
    <t>مقسوم أجر الساعة</t>
  </si>
  <si>
    <t>الأجر الشهري ÷ هذا الرقم = أجر الساعة (48 ساعة × 4.33 أسبوع)</t>
  </si>
  <si>
    <t>فترة الراحة اليومية (ساعة)</t>
  </si>
  <si>
    <t>لا تُحتسب من ساعات العمل — تُطرح قبل احتساب الإضافي</t>
  </si>
  <si>
    <t>التأخير والجزاءات</t>
  </si>
  <si>
    <t>بنك التسامح الشهري (دقيقة)</t>
  </si>
  <si>
    <t>360 دقيقة = 6 ساعات شهرياً. لا يبدأ الجزاء إلا بعد استنفاده. سياسة منشأة — يجب توثيقها في اللائحة.</t>
  </si>
  <si>
    <t>سقف الجزاء الشهري (أيام أجر)</t>
  </si>
  <si>
    <t>المادة 70 — سقف 5 أيام أجر شهرياً · المادة 68 — إعادة العدّ بعد 180 يوماً</t>
  </si>
  <si>
    <t>مدة إعادة عدّ التكرار (يوم)</t>
  </si>
  <si>
    <t>بعد انقضائها تُعامل المخالفة التالية معاملة المرة الأولى</t>
  </si>
  <si>
    <t>عتبات الغياب النظامية</t>
  </si>
  <si>
    <t>إنذار كتابي — غياب متصل</t>
  </si>
  <si>
    <t>عند هذا اليوم يصبح الإنذار الكتابي واجباً لا اختيارياً</t>
  </si>
  <si>
    <t>إنذار كتابي — غياب متقطع</t>
  </si>
  <si>
    <t>يُحتسب على السنة العقدية (من تاريخ التعيين)</t>
  </si>
  <si>
    <t>عتبة الإنهاء — غياب متصل</t>
  </si>
  <si>
    <t>المادة 80 — الفصل دون مكافأة بعد إنذار كتابي</t>
  </si>
  <si>
    <t>عتبة الإنهاء — غياب متقطع</t>
  </si>
  <si>
    <t>معاملات الأجر الإضافي</t>
  </si>
  <si>
    <t>إضافي — ساعات نهارية</t>
  </si>
  <si>
    <t>150٪ من أجر الساعة — المادة 107 · وأيام الراحة والعطل تُحتسب بالنسبة نفسها</t>
  </si>
  <si>
    <t>إضافي — ساعات ليلية</t>
  </si>
  <si>
    <t>العمل في يوم الراحة الأسبوعية</t>
  </si>
  <si>
    <t>العمل في عطلة رسمية</t>
  </si>
  <si>
    <t>رموز الحالة اليومية</t>
  </si>
  <si>
    <t>كل رمز يحمل أثره الثلاثي: هل يُحتسب حضوراً؟ هل هو مدفوع؟ ومن أي رصيد يُخصم؟</t>
  </si>
  <si>
    <t>الرمز</t>
  </si>
  <si>
    <t>الوصف</t>
  </si>
  <si>
    <t>يُحتسب حضوراً</t>
  </si>
  <si>
    <t>نسبة الأجر</t>
  </si>
  <si>
    <t>يُخصم من رصيد</t>
  </si>
  <si>
    <t>ملاحظة</t>
  </si>
  <si>
    <t>P</t>
  </si>
  <si>
    <t>حاضر</t>
  </si>
  <si>
    <t>نعم</t>
  </si>
  <si>
    <t>—</t>
  </si>
  <si>
    <t>اليوم الطبيعي</t>
  </si>
  <si>
    <t>H</t>
  </si>
  <si>
    <t>نصف يوم</t>
  </si>
  <si>
    <t>يُحتسب بنصف يوم في البسط والمقام</t>
  </si>
  <si>
    <t>A</t>
  </si>
  <si>
    <t>غياب بدون إذن</t>
  </si>
  <si>
    <t>غياب</t>
  </si>
  <si>
    <t>يُغذّي عدّاد الغياب والتنبيهات النظامية</t>
  </si>
  <si>
    <t>AL</t>
  </si>
  <si>
    <t>إجازة سنوية</t>
  </si>
  <si>
    <t>سنوي</t>
  </si>
  <si>
    <t>يُخصم من الرصيد السنوي</t>
  </si>
  <si>
    <t>UL</t>
  </si>
  <si>
    <t>إجازة بدون أجر</t>
  </si>
  <si>
    <t>لا يُحتسب حضوراً ولا يُدفع</t>
  </si>
  <si>
    <t>S1</t>
  </si>
  <si>
    <t>مرضي — شريحة 1 (أجر كامل)</t>
  </si>
  <si>
    <t>مرضي</t>
  </si>
  <si>
    <t>الشريحة الأولى</t>
  </si>
  <si>
    <t>S2</t>
  </si>
  <si>
    <t>مرضي — شريحة 2 (75٪)</t>
  </si>
  <si>
    <t>الشريحة الثانية</t>
  </si>
  <si>
    <t>S3</t>
  </si>
  <si>
    <t>مرضي — شريحة 3 (بدون أجر)</t>
  </si>
  <si>
    <t>الشريحة الثالثة</t>
  </si>
  <si>
    <t>PH</t>
  </si>
  <si>
    <t>عطلة رسمية</t>
  </si>
  <si>
    <t>من ورقة التقويم — تُظلَّل تلقائياً</t>
  </si>
  <si>
    <t>W</t>
  </si>
  <si>
    <t>راحة أسبوعية</t>
  </si>
  <si>
    <t>يوم الراحة — يُستخدم إذا اختلف عن العطلة العامة للمنشأة</t>
  </si>
  <si>
    <t>BT</t>
  </si>
  <si>
    <t>مأمورية عمل</t>
  </si>
  <si>
    <t>خارج المقر لكنه حضور كامل — لا يخفض النسبة</t>
  </si>
  <si>
    <t>WI</t>
  </si>
  <si>
    <t>إصابة عمل</t>
  </si>
  <si>
    <t>أجر كامل من اليوم الأول — فرع تأميني منفصل، لا يُخلط بالمرضي</t>
  </si>
  <si>
    <t>ML</t>
  </si>
  <si>
    <t>إجازة وضع</t>
  </si>
  <si>
    <t>وضع</t>
  </si>
  <si>
    <t>MR</t>
  </si>
  <si>
    <t>إجازة زواج</t>
  </si>
  <si>
    <t>مناسبات</t>
  </si>
  <si>
    <t>BR</t>
  </si>
  <si>
    <t>إجازة وفاة</t>
  </si>
  <si>
    <t>HJ</t>
  </si>
  <si>
    <t>إجازة حج</t>
  </si>
  <si>
    <t>حج</t>
  </si>
  <si>
    <t>مرة واحدة طوال الخدمة</t>
  </si>
  <si>
    <t>EX</t>
  </si>
  <si>
    <t>إجازة امتحان</t>
  </si>
  <si>
    <t>أيام الامتحان الفعلية</t>
  </si>
  <si>
    <t>ID</t>
  </si>
  <si>
    <t>عدّة</t>
  </si>
  <si>
    <t>عدّة الأرملة المسلمة — أجر كامل، ولا يجوز ترميزها غياباً</t>
  </si>
  <si>
    <t>قاعدة المقام: أيام العمل المجدولة = أيام «ع» في صف نوع اليوم، ناقص أيام الراحة الخاصة بالموظف. الإجازات المعتمدة تخرج من المقام ولا تُحتسب غياباً — وهذا ما يجعل نسبة الالتزام مؤشراً إدارياً صحيحاً.</t>
  </si>
  <si>
    <t>■ شرائح المرضي: 30 يوماً بأجر كامل، ثم 60 بـ75٪، ثم 30 بدون أجر — المادة 117</t>
  </si>
  <si>
    <t>ملف الموظفين</t>
  </si>
  <si>
    <t>المصدر الوحيد لبيانات الموظف — كل الأوراق الأخرى تسحب منها بالرقم الوظيفي</t>
  </si>
  <si>
    <t>م</t>
  </si>
  <si>
    <t>الرقم الوظيفي</t>
  </si>
  <si>
    <t>اسم الموظف</t>
  </si>
  <si>
    <t>القسم</t>
  </si>
  <si>
    <t>المدير المباشر</t>
  </si>
  <si>
    <t>تاريخ التعيين</t>
  </si>
  <si>
    <t>سنوات الخدمة</t>
  </si>
  <si>
    <t>نوع العقد</t>
  </si>
  <si>
    <t>الأجر الأساسي</t>
  </si>
  <si>
    <t>أجر اليوم</t>
  </si>
  <si>
    <t>أجر الساعة</t>
  </si>
  <si>
    <t>أيام الراحة</t>
  </si>
  <si>
    <t>بداية الدوام</t>
  </si>
  <si>
    <t>نهاية الدوام</t>
  </si>
  <si>
    <t>الحالة</t>
  </si>
  <si>
    <t>EMP-001</t>
  </si>
  <si>
    <t>أحمد محمد الشريف</t>
  </si>
  <si>
    <t>العمليات</t>
  </si>
  <si>
    <t>فيصل العتيبي</t>
  </si>
  <si>
    <t>غير محدد المدة</t>
  </si>
  <si>
    <t>6,7</t>
  </si>
  <si>
    <t>نشط</t>
  </si>
  <si>
    <t>EMP-002</t>
  </si>
  <si>
    <t>عبدالله القحطاني</t>
  </si>
  <si>
    <t>EMP-003</t>
  </si>
  <si>
    <t>محمود حسن السيد</t>
  </si>
  <si>
    <t>EMP-004</t>
  </si>
  <si>
    <t>الإدارة العليا</t>
  </si>
  <si>
    <t>EMP-005</t>
  </si>
  <si>
    <t>يوسف إبراهيم فؤاد</t>
  </si>
  <si>
    <t>الجودة</t>
  </si>
  <si>
    <t>بندر الغامدي</t>
  </si>
  <si>
    <t>EMP-006</t>
  </si>
  <si>
    <t>سلطان الحربي</t>
  </si>
  <si>
    <t>EMP-007</t>
  </si>
  <si>
    <t>كريم سعيد الخولي</t>
  </si>
  <si>
    <t>محدد المدة</t>
  </si>
  <si>
    <t>EMP-008</t>
  </si>
  <si>
    <t>EMP-009</t>
  </si>
  <si>
    <t>عمر شعبان النجار</t>
  </si>
  <si>
    <t>الإنتاج</t>
  </si>
  <si>
    <t>ماجد الدوسري</t>
  </si>
  <si>
    <t>EMP-010</t>
  </si>
  <si>
    <t>EMP-011</t>
  </si>
  <si>
    <t>هبة رمضان عبد الحميد</t>
  </si>
  <si>
    <t>EMP-012</t>
  </si>
  <si>
    <t>نورة العمري</t>
  </si>
  <si>
    <t>EMP-013</t>
  </si>
  <si>
    <t>داليا فؤاد الشناوي</t>
  </si>
  <si>
    <t>EMP-014</t>
  </si>
  <si>
    <t>لطيفة الشهري</t>
  </si>
  <si>
    <t>السلامة والصحة</t>
  </si>
  <si>
    <t>EMP-015</t>
  </si>
  <si>
    <t>سارة الشريف عبد الله</t>
  </si>
  <si>
    <t>EMP-016</t>
  </si>
  <si>
    <t>ريم القحطاني</t>
  </si>
  <si>
    <t>EMP-017</t>
  </si>
  <si>
    <t>منى الغزالي</t>
  </si>
  <si>
    <t>الصيانة</t>
  </si>
  <si>
    <t>تركي العنزي</t>
  </si>
  <si>
    <t>EMP-018</t>
  </si>
  <si>
    <t>هيا الغانم</t>
  </si>
  <si>
    <t>EMP-019</t>
  </si>
  <si>
    <t>رانيا الخولي</t>
  </si>
  <si>
    <t>EMP-020</t>
  </si>
  <si>
    <t>أروى العسيري</t>
  </si>
  <si>
    <t>EMP-021</t>
  </si>
  <si>
    <t>مصطفى فهمي عبد الجواد</t>
  </si>
  <si>
    <t>المستودع</t>
  </si>
  <si>
    <t>EMP-022</t>
  </si>
  <si>
    <t>EMP-023</t>
  </si>
  <si>
    <t>تامر النجار</t>
  </si>
  <si>
    <t>EMP-024</t>
  </si>
  <si>
    <t>نايف السبيعي</t>
  </si>
  <si>
    <t>تحت التجربة</t>
  </si>
  <si>
    <t>EMP-025</t>
  </si>
  <si>
    <t>إيمان صابر رفعت</t>
  </si>
  <si>
    <t>الإدارة</t>
  </si>
  <si>
    <t>منال المطيري</t>
  </si>
  <si>
    <t>EMP-026</t>
  </si>
  <si>
    <t>EMP-027</t>
  </si>
  <si>
    <t>أميرة زكي الحسيني</t>
  </si>
  <si>
    <t>EMP-028</t>
  </si>
  <si>
    <t>دلال البلوي</t>
  </si>
  <si>
    <t>EMP-029</t>
  </si>
  <si>
    <t>نادية عبد الحميد</t>
  </si>
  <si>
    <t>EMP-030</t>
  </si>
  <si>
    <t>مي الفهد</t>
  </si>
  <si>
    <t>أيام الراحة تُكتب بأرقام الأيام مفصولة بفاصلة (1=الأحد … 6=الجمعة، 7=السبت). مثال: 6,7 تعني الجمعة والسبت. الموظف الذي تختلف راحته عن المنشأة يُعلَّم بالرمز W في أيامه.</t>
  </si>
  <si>
    <t>■ استحقاق الإجازة السنوية: 21 يوماً، تُزاد إلى 30 بعد 5 سنوات متصلة — المادة 109</t>
  </si>
  <si>
    <t>تقويم العطل الرسمية</t>
  </si>
  <si>
    <t>يُعبَّأ مرة واحدة في بداية السنة — وتُظلَّل أيامه تلقائياً في كل الأوراق</t>
  </si>
  <si>
    <t>المناسبة</t>
  </si>
  <si>
    <t>تاريخ البداية</t>
  </si>
  <si>
    <t>عدد الأيام</t>
  </si>
  <si>
    <t>تراكمي</t>
  </si>
  <si>
    <t>تسلسل</t>
  </si>
  <si>
    <t>التاريخ</t>
  </si>
  <si>
    <t>عيد الفطر</t>
  </si>
  <si>
    <t>عمودا «تسلسل/التاريخ» يفردان المناسبات متعددة الأيام إلى تواريخ مفردة، وهما ما تقرأ منه بقية الأوراق. لا تُعدَّل يدوياً — تتحدّث تلقائياً عند تغيير أي مناسبة.
10 أيام سنوياً — المادة 112. العيدان هجريان: تُحدَّث تواريخهما سنوياً.</t>
  </si>
  <si>
    <t>عيد الأضحى</t>
  </si>
  <si>
    <t>يوم التأسيس</t>
  </si>
  <si>
    <t>اليوم الوطني</t>
  </si>
  <si>
    <t>إجازات المناسبات النظامية (مرجع)</t>
  </si>
  <si>
    <t>الإجازة</t>
  </si>
  <si>
    <t>المرجع</t>
  </si>
  <si>
    <t>المادة 113</t>
  </si>
  <si>
    <t>إجازة ولادة مولود (للأب)</t>
  </si>
  <si>
    <t>المادة 113 — خلال 7 أيام من الولادة</t>
  </si>
  <si>
    <t>وفاة زوج أو أصل أو فرع</t>
  </si>
  <si>
    <t>وفاة أخ أو أخت</t>
  </si>
  <si>
    <t>المادة 113 — أُضيفت بتعديلات 2025</t>
  </si>
  <si>
    <t>المادة 151 — 12 أسبوعاً، منها 6 إلزامية بعد الوضع</t>
  </si>
  <si>
    <t>عدّة الأرملة المسلمة</t>
  </si>
  <si>
    <t>المادة 160 — 4 أشهر و10 أيام بأجر كامل</t>
  </si>
  <si>
    <t>المادة 114 — مرة واحدة بعد سنتين متصلتين</t>
  </si>
  <si>
    <t>مصفوفة الحضور الشهرية</t>
  </si>
  <si>
    <t>أدخل رمز الحالة في خلية اليوم. الرموز وأثرها في ورقة «الرموز». الأعمدة الرمادية = راحة أو عطلة.</t>
  </si>
  <si>
    <t>أيام الشهر</t>
  </si>
  <si>
    <t>العطلة</t>
  </si>
  <si>
    <t>متوسط الالتزام</t>
  </si>
  <si>
    <t>إجمالي التأخير (دقيقة)</t>
  </si>
  <si>
    <t>أيام العمل المجدولة</t>
  </si>
  <si>
    <t>أيام الحضور</t>
  </si>
  <si>
    <t>إجازات مدفوعة</t>
  </si>
  <si>
    <t>نسبة الالتزام</t>
  </si>
  <si>
    <t>دقائق التأخير</t>
  </si>
  <si>
    <t>ساعات إضافي</t>
  </si>
  <si>
    <t>مرضي ١</t>
  </si>
  <si>
    <t>مرضي ٢</t>
  </si>
  <si>
    <t>مرضي ٣</t>
  </si>
  <si>
    <t>بدون أجر</t>
  </si>
  <si>
    <t>عطل</t>
  </si>
  <si>
    <t>راحة</t>
  </si>
  <si>
    <t>نوع اليوم:  ع = يوم عمل   ·   ر = راحة أسبوعية   ·   ط = عطلة رسمية</t>
  </si>
  <si>
    <t>الإجمالي / نسبة الحضور اليومية</t>
  </si>
  <si>
    <t>سجل الحضور والانصراف</t>
  </si>
  <si>
    <t>سجل الحضور والانصراف إلزامي بنص المادة 5 من اللائحة التنفيذية — يجب أن يُثبت وقت الحضور ووقت الانصراف.</t>
  </si>
  <si>
    <t>إجمالي دقائق التأخير</t>
  </si>
  <si>
    <t>عدد مرات التأخير</t>
  </si>
  <si>
    <t>إجمالي ساعات الإضافي</t>
  </si>
  <si>
    <t>بداية الدوام المقرر</t>
  </si>
  <si>
    <t>وقت الحضور</t>
  </si>
  <si>
    <t>وقت الانصراف</t>
  </si>
  <si>
    <t>ساعات العمل</t>
  </si>
  <si>
    <t>رقم التكرار</t>
  </si>
  <si>
    <t>نسبة الجزاء (يوم أجر)</t>
  </si>
  <si>
    <t>جداول الجزاءات والاحتساب الشهري</t>
  </si>
  <si>
    <t>جدول شرائح التأخير — نسبة من أجر يوم واحد</t>
  </si>
  <si>
    <t>من (دقيقة)</t>
  </si>
  <si>
    <t>إلى</t>
  </si>
  <si>
    <t>المرة الأولى</t>
  </si>
  <si>
    <t>الثانية</t>
  </si>
  <si>
    <t>الثالثة</t>
  </si>
  <si>
    <t>الرابعة فأكثر</t>
  </si>
  <si>
    <t>حتى 15 دقيقة</t>
  </si>
  <si>
    <t>من 16 إلى 30 دقيقة</t>
  </si>
  <si>
    <t>من 31 إلى 60 دقيقة</t>
  </si>
  <si>
    <t>أكثر من 60 دقيقة</t>
  </si>
  <si>
    <t>■ المصدر: جدول المخالفات والجزاءات النموذجي — اللائحة التنفيذية — 0.00 تعني إنذاراً كتابياً دون خصم مالي.</t>
  </si>
  <si>
    <t>جدول شرائح الغياب بدون إذن — نسبة من أجر يوم واحد</t>
  </si>
  <si>
    <t>من (يوم)</t>
  </si>
  <si>
    <t>يوم واحد</t>
  </si>
  <si>
    <t>من 2 إلى 6 أيام</t>
  </si>
  <si>
    <t>من 7 إلى 10 أيام</t>
  </si>
  <si>
    <t>من 11 إلى 14 يوماً</t>
  </si>
  <si>
    <t>⚠ خصم أجر أيام الغياب نفسها ليس جزاءً — وهو لا يخضع لسقف الخمسة أيام. الجدول أعلاه للجزاء التأديبي وحده، وهو ما يخضع للسقف.</t>
  </si>
  <si>
    <t>احتساب الجزاء الشهري لكل موظف</t>
  </si>
  <si>
    <t>بنك التسامح</t>
  </si>
  <si>
    <t>الدقائق الخاضعة</t>
  </si>
  <si>
    <t>مرات التأخير</t>
  </si>
  <si>
    <t>أيام جزاء التأخير</t>
  </si>
  <si>
    <t>أيام غياب</t>
  </si>
  <si>
    <t>أيام جزاء الغياب</t>
  </si>
  <si>
    <t>إجمالي أيام الجزاء</t>
  </si>
  <si>
    <t>بعد تطبيق السقف</t>
  </si>
  <si>
    <t>قيمة الجزاء</t>
  </si>
  <si>
    <t>الإجمالي</t>
  </si>
  <si>
    <t>بنك التسامح يُطبَّق على الإجمالي الشهري: إذا لم تتجاوز دقائق التأخير الرصيد المسموح، فلا جزاء على التأخير إطلاقاً. وعند تجاوزه تُطبَّق شرائح الجدول على كل واقعة تأخير على حدة.</t>
  </si>
  <si>
    <t>عمود «بعد تطبيق السقف» هو الرقم الوحيد الذي يُرحَّل إلى الرواتب — وهو مقيَّد بسقف 5 أيام أجر شهرياً.</t>
  </si>
  <si>
    <t>أرصدة الإجازات</t>
  </si>
  <si>
    <t>21 يوماً، تُزاد إلى 30 بعد 5 سنوات متصلة — المادة 109</t>
  </si>
  <si>
    <t>الاستحقاق السنوي</t>
  </si>
  <si>
    <t>رصيد مرحّل</t>
  </si>
  <si>
    <t>إجمالي الرصيد</t>
  </si>
  <si>
    <t>مستهلك — سنوي</t>
  </si>
  <si>
    <t>مستهلك — عدّة</t>
  </si>
  <si>
    <t>الرصيد المتبقي</t>
  </si>
  <si>
    <t>مستهلك — مرضي</t>
  </si>
  <si>
    <t>المتبقي من المرضي</t>
  </si>
  <si>
    <t>■ 21 يوماً، تُزاد إلى 30 بعد 5 سنوات متصلة — المادة 109</t>
  </si>
  <si>
    <t>■ الإجازة المرضية: 30 يوماً بأجر كامل، ثم 60 بـ75٪، ثم 30 بدون أجر — المادة 117 · دورة الاحتساب: سنة متدحرجة من أول يوم مرضي للموظف</t>
  </si>
  <si>
    <t>«الرصيد المرحّل» هو العمود الوحيد الذي يُدخَل يدوياً — يُنقل من رصيد نهاية السنة السابقة.</t>
  </si>
  <si>
    <t>التجميع السنوي وسلاسل الغياب</t>
  </si>
  <si>
    <t>العدّادات النظامية تُقاس على السنة العقدية (من تاريخ التعيين) — لا على الشهر</t>
  </si>
  <si>
    <t>◀ أيام الراحة والعطل المتخللة</t>
  </si>
  <si>
    <t>◀ طول السلسلة المتصلة</t>
  </si>
  <si>
    <t>يناير</t>
  </si>
  <si>
    <t>فبراير</t>
  </si>
  <si>
    <t>مارس</t>
  </si>
  <si>
    <t>أبريل</t>
  </si>
  <si>
    <t>مايو</t>
  </si>
  <si>
    <t>يونيو</t>
  </si>
  <si>
    <t>يوليو</t>
  </si>
  <si>
    <t>أغسطس</t>
  </si>
  <si>
    <t>سبتمبر</t>
  </si>
  <si>
    <t>أكتوبر</t>
  </si>
  <si>
    <t>نوفمبر</t>
  </si>
  <si>
    <t>ديسمبر</t>
  </si>
  <si>
    <t>إجمالي الغياب المتقطع</t>
  </si>
  <si>
    <t>غياب الشهر الحالي</t>
  </si>
  <si>
    <t>أطول سلسلة — الشهر الحالي</t>
  </si>
  <si>
    <t>أطول سلسلة — السنة</t>
  </si>
  <si>
    <t>الحالة النظامية</t>
  </si>
  <si>
    <t>«أطول سلسلة متصلة» تُحسب بأيام التقويم لا بأيام العمل: أيام الراحة والعطل الواقعة بين يومَي غياب تُحتسب ضمن السلسلة، لأن الانقطاع المتصل في النظام يُقاس بالتقويم. أما عطلة تلي آخر يوم غياب فلا تُحتسب.</t>
  </si>
  <si>
    <t>في نهاية كل شهر: انسخ قيمة «غياب الشهر الحالي» والصقها كقيمة في عمود ذلك الشهر، وحدِّث «أطول سلسلة — السنة» إذا تجاوزت سلسلة الشهر ما سبقها. قبل الترحيل يُضيف الملف الشهر الحالي تلقائياً حتى لا يظهر صفراً.</t>
  </si>
  <si>
    <t>■ المادة 80 — الفصل دون مكافأة بعد إنذار كتابي — العتبات: أكثر من 15 يوماً متصلة أو 30 متقطعة، والإنذار الكتابي واجب عند اليوم 10 و20.</t>
  </si>
  <si>
    <t>التنبيهات النظامية</t>
  </si>
  <si>
    <t>متى يصبح الإنذار الكتابي واجباً — لا اختيارياً. تجاهله يُبطل أي إنهاء لاحق.</t>
  </si>
  <si>
    <t>حالات تستوجب إنذاراً</t>
  </si>
  <si>
    <t>حالات بلغت حد الإنهاء</t>
  </si>
  <si>
    <t>دون هدف 90٪</t>
  </si>
  <si>
    <t>غياب الشهر</t>
  </si>
  <si>
    <t>غياب متقطع (سنة)</t>
  </si>
  <si>
    <t>أطول سلسلة متصلة</t>
  </si>
  <si>
    <t>التنبيه المطلوب</t>
  </si>
  <si>
    <t>الإجراء النظامي</t>
  </si>
  <si>
    <t>⚠ المادة 80 — الفصل دون مكافأة بعد إنذار كتابي — الإنذار الكتابي شرط سابق على الإنهاء، وليس إجراءً شكلياً. تخطّيه يجعل الإنهاء باطلاً ولو تحققت أيام الغياب.</t>
  </si>
  <si>
    <t>مخرج الرواتب الشهري</t>
  </si>
  <si>
    <t>يُغذّي هذا الملف: نظام حماية الأجور (WPS) · منصة قوى · مدد. أي نقص في المبلغ المحوَّل يستوجب مبرراً موثقاً.</t>
  </si>
  <si>
    <t>إجمالي الاستقطاعات</t>
  </si>
  <si>
    <t>إجمالي الإضافي</t>
  </si>
  <si>
    <t>صافي المسير</t>
  </si>
  <si>
    <t>أيام مرضي مخفّضة</t>
  </si>
  <si>
    <t>خصم الغياب</t>
  </si>
  <si>
    <t>خصم بدون أجر</t>
  </si>
  <si>
    <t>خصم المرضي</t>
  </si>
  <si>
    <t>قيمة الإضافي</t>
  </si>
  <si>
    <t>صافي المستحق</t>
  </si>
  <si>
    <t>■ 150٪ من أجر الساعة — المادة 107 · وأيام الراحة والعطل تُحتسب بالنسبة نفسها</t>
  </si>
  <si>
    <t>خصم الغياب والإجازة بدون أجر ليس جزاءً — بل أجر وقت لم يُعمَل، ولا يخضع لسقف الخمسة أيام. عمود «الجزاءات» وحده هو المسقوف.</t>
  </si>
  <si>
    <t>لوحة المؤشرات الشهرية</t>
  </si>
  <si>
    <t>كل الأرقام محسوبة آلياً من ورقتي الحضور والتوقيت</t>
  </si>
  <si>
    <t>المؤشرات الرئيسية</t>
  </si>
  <si>
    <t>عدد الموظفين</t>
  </si>
  <si>
    <t>أيام الغياب بدون إذن</t>
  </si>
  <si>
    <t>ساعات العمل الإضافي</t>
  </si>
  <si>
    <t>قيمة الجزاءات</t>
  </si>
  <si>
    <t>التزام كامل (100٪)</t>
  </si>
  <si>
    <t>تنبيهات نظامية مفتوحة</t>
  </si>
  <si>
    <t>تحليل الأقسام</t>
  </si>
  <si>
    <t>أيام الغياب</t>
  </si>
  <si>
    <t>متوسط الالتزام يستبعد الإجازات المعتمدة من المقام — لذلك هو مؤشر أداء حقيقي، لا انعكاس لعدد الإجازات التي منحتها المنشأة.</t>
  </si>
  <si>
    <t>كشف حساب الموظف</t>
  </si>
  <si>
    <t>اختر الرقم الوظيفي — ويُبنى الكشف كاملاً تلقائياً، جاهزاً للطباعة والتسليم</t>
  </si>
  <si>
    <t>اختر الرقم الوظيفي</t>
  </si>
  <si>
    <t>بيانات الموظف</t>
  </si>
  <si>
    <t>الاسم</t>
  </si>
  <si>
    <t>حضور الفترة</t>
  </si>
  <si>
    <t>الجزاءات والمستحقات</t>
  </si>
  <si>
    <t>الجزاء بعد تطبيق السقف</t>
  </si>
  <si>
    <t>توقيع الموظف</t>
  </si>
  <si>
    <t>توقيع المدير المباشر</t>
  </si>
  <si>
    <t>الإنذار شرط سابق على أي إنهاء بسبب الغياب — وهذه الورقة تُنتجه جاهزاً للتوقيع</t>
  </si>
  <si>
    <t>تاريخ الخطاب</t>
  </si>
  <si>
    <t>ملخص الحالة</t>
  </si>
  <si>
    <t>أيام الغياب هذا الشهر</t>
  </si>
  <si>
    <t>أطول سلسلة غياب متصلة</t>
  </si>
  <si>
    <t>إجمالي الغياب المتقطع بالسنة</t>
  </si>
  <si>
    <t>دقائق التأخير هذا الشهر</t>
  </si>
  <si>
    <t>نص الخطاب</t>
  </si>
  <si>
    <t>⚠ طريقة التسليم: يُسلَّم باليد مقابل توقيع بالاستلام، أو يُرسل على العنوان المسجَّل.</t>
  </si>
  <si>
    <t>انسخ نص الخطاب والصقه في ترويسة المنشأة الرسمية. واحتفظ بنسخة موقّعة بالاستلام في ملف الموظف — فالإنذار غير الموثَّق كأنه لم يكن.</t>
  </si>
  <si>
    <t>■ المادة 80 — الفصل دون مكافأة بعد إنذار كتابي</t>
  </si>
  <si>
    <t xml:space="preserve">شركة امتثال للاستشارات والتاهيل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</si>
</sst>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numFmt numFmtId="165" formatCode="0.0"/>
    <numFmt numFmtId="166" formatCode="hh:mm"/>
    <numFmt numFmtId="167" formatCode="0.0%"/>
    <numFmt numFmtId="168" formatCode="[$-2C01]ddd"/>
    <numFmt numFmtId="169" formatCode="#,##0.0"/>
  </numFmts>
  <fonts count="33" x14ac:knownFonts="1">
    <font>
      <sz val="11"/>
      <color theme="1"/>
      <name val="Calibri"/>
      <family val="2"/>
      <charset val="1"/>
    </font>
    <font>
      <b/>
      <sz val="15"/>
      <color rgb="FFFFFFFF"/>
      <name val="Arial"/>
      <charset val="1"/>
    </font>
    <font>
      <sz val="9"/>
      <color rgb="FFFFFFFF"/>
      <name val="Arial"/>
      <charset val="1"/>
    </font>
    <font>
      <b/>
      <sz val="11"/>
      <color rgb="FF1A2E5E"/>
      <name val="Arial"/>
      <charset val="1"/>
    </font>
    <font>
      <sz val="10"/>
      <name val="Arial"/>
      <charset val="1"/>
    </font>
    <font>
      <b/>
      <sz val="10"/>
      <color rgb="FFFFFFFF"/>
      <name val="Arial"/>
      <charset val="1"/>
    </font>
    <font>
      <b/>
      <sz val="9.5"/>
      <color rgb="FF1A1A1A"/>
      <name val="Arial"/>
      <charset val="1"/>
    </font>
    <font>
      <sz val="9.5"/>
      <color rgb="FF1A1A1A"/>
      <name val="Arial"/>
      <charset val="1"/>
    </font>
    <font>
      <sz val="9"/>
      <color rgb="FFA8382F"/>
      <name val="Arial"/>
      <charset val="1"/>
    </font>
    <font>
      <sz val="9"/>
      <color rgb="FFB0762A"/>
      <name val="Arial"/>
      <charset val="1"/>
    </font>
    <font>
      <sz val="9"/>
      <color rgb="FF1A2E5E"/>
      <name val="Arial"/>
      <charset val="1"/>
    </font>
    <font>
      <b/>
      <sz val="10"/>
      <color rgb="FF1A2E5E"/>
      <name val="Arial"/>
      <charset val="1"/>
    </font>
    <font>
      <sz val="8.5"/>
      <color rgb="FF6B7A94"/>
      <name val="Arial"/>
      <charset val="1"/>
    </font>
    <font>
      <b/>
      <sz val="10"/>
      <color rgb="FF1A1A1A"/>
      <name val="Arial"/>
      <charset val="1"/>
    </font>
    <font>
      <b/>
      <sz val="10"/>
      <color rgb="FF14243F"/>
      <name val="Arial"/>
      <charset val="1"/>
    </font>
    <font>
      <sz val="9"/>
      <color rgb="FF2EA67A"/>
      <name val="Arial"/>
      <charset val="1"/>
    </font>
    <font>
      <sz val="10"/>
      <color rgb="FF14243F"/>
      <name val="Arial"/>
      <charset val="1"/>
    </font>
    <font>
      <b/>
      <sz val="9"/>
      <color rgb="FFFFFFFF"/>
      <name val="Arial"/>
      <charset val="1"/>
    </font>
    <font>
      <sz val="9"/>
      <color rgb="FF6B7A94"/>
      <name val="Arial"/>
      <charset val="1"/>
    </font>
    <font>
      <b/>
      <sz val="9"/>
      <color rgb="FF1A2E5E"/>
      <name val="Arial"/>
      <charset val="1"/>
    </font>
    <font>
      <b/>
      <sz val="8"/>
      <color rgb="FFFFFFFF"/>
      <name val="Arial"/>
      <charset val="1"/>
    </font>
    <font>
      <b/>
      <sz val="8.5"/>
      <color rgb="FF1A2E5E"/>
      <name val="Arial"/>
      <charset val="1"/>
    </font>
    <font>
      <b/>
      <sz val="8"/>
      <color rgb="FF1A2E5E"/>
      <name val="Arial"/>
      <charset val="1"/>
    </font>
    <font>
      <b/>
      <sz val="8.5"/>
      <name val="Arial"/>
      <charset val="1"/>
    </font>
    <font>
      <sz val="8.5"/>
      <color rgb="FF14243F"/>
      <name val="Arial"/>
      <charset val="1"/>
    </font>
    <font>
      <sz val="8"/>
      <color rgb="FF14243F"/>
      <name val="Arial"/>
      <charset val="1"/>
    </font>
    <font>
      <sz val="9"/>
      <color rgb="FF14243F"/>
      <name val="Arial"/>
      <charset val="1"/>
    </font>
    <font>
      <b/>
      <sz val="8"/>
      <color rgb="FF98A2B3"/>
      <name val="Arial"/>
      <charset val="1"/>
    </font>
    <font>
      <sz val="7"/>
      <color rgb="FFFFFFFF"/>
      <name val="Arial"/>
      <charset val="1"/>
    </font>
    <font>
      <sz val="7"/>
      <color rgb="FF14243F"/>
      <name val="Arial"/>
      <charset val="1"/>
    </font>
    <font>
      <b/>
      <sz val="17"/>
      <color rgb="FF14243F"/>
      <name val="Arial"/>
      <charset val="1"/>
    </font>
    <font>
      <b/>
      <sz val="12"/>
      <color rgb="FF1A2E5E"/>
      <name val="Arial"/>
      <charset val="1"/>
    </font>
    <font>
      <sz val="10.5"/>
      <name val="Arial"/>
      <charset val="1"/>
    </font>
  </fonts>
  <fills count="18">
    <fill>
      <patternFill patternType="none"/>
    </fill>
    <fill>
      <patternFill patternType="gray125"/>
    </fill>
    <fill>
      <patternFill patternType="solid">
        <fgColor rgb="FF1A2E5E"/>
        <bgColor rgb="FF14243F"/>
      </patternFill>
    </fill>
    <fill>
      <patternFill patternType="solid">
        <fgColor rgb="FF2A4680"/>
        <bgColor rgb="FF1A2E5E"/>
      </patternFill>
    </fill>
    <fill>
      <patternFill patternType="solid">
        <fgColor rgb="FFF4F6F9"/>
        <bgColor rgb="FFF0F2F6"/>
      </patternFill>
    </fill>
    <fill>
      <patternFill patternType="solid">
        <fgColor rgb="FFFFF7E0"/>
        <bgColor rgb="FFFBF3E4"/>
      </patternFill>
    </fill>
    <fill>
      <patternFill patternType="solid">
        <fgColor rgb="FFF0F2F6"/>
        <bgColor rgb="FFF4F6F9"/>
      </patternFill>
    </fill>
    <fill>
      <patternFill patternType="solid">
        <fgColor rgb="FFF7EFD9"/>
        <bgColor rgb="FFFBF3E4"/>
      </patternFill>
    </fill>
    <fill>
      <patternFill patternType="solid">
        <fgColor rgb="FFFBEAE8"/>
        <bgColor rgb="FFF7EFD9"/>
      </patternFill>
    </fill>
    <fill>
      <patternFill patternType="solid">
        <fgColor rgb="FFE6F5EF"/>
        <bgColor rgb="FFF0F2F6"/>
      </patternFill>
    </fill>
    <fill>
      <patternFill patternType="solid">
        <fgColor rgb="FFFBF3E4"/>
        <bgColor rgb="FFFFF7E0"/>
      </patternFill>
    </fill>
    <fill>
      <patternFill patternType="solid">
        <fgColor rgb="FFE3E9F5"/>
        <bgColor rgb="FFE7E6E6"/>
      </patternFill>
    </fill>
    <fill>
      <patternFill patternType="solid">
        <fgColor rgb="FFE7E6E6"/>
        <bgColor rgb="FFE3E9F5"/>
      </patternFill>
    </fill>
    <fill>
      <patternFill patternType="solid">
        <fgColor rgb="FF14243F"/>
        <bgColor rgb="FF1A2E5E"/>
      </patternFill>
    </fill>
    <fill>
      <patternFill patternType="solid">
        <fgColor rgb="FF2EA67A"/>
        <bgColor rgb="FF008080"/>
      </patternFill>
    </fill>
    <fill>
      <patternFill patternType="solid">
        <fgColor rgb="FFA8382F"/>
        <bgColor rgb="FF993366"/>
      </patternFill>
    </fill>
    <fill>
      <patternFill patternType="solid">
        <fgColor rgb="FFB0762A"/>
        <bgColor rgb="FFC8A84B"/>
      </patternFill>
    </fill>
    <fill>
      <patternFill patternType="solid">
        <fgColor rgb="FFFFFFFF"/>
        <bgColor rgb="FFF4F6F9"/>
      </patternFill>
    </fill>
  </fills>
  <borders count="9">
    <border>
      <left/>
      <right/>
      <top/>
      <bottom/>
      <diagonal/>
    </border>
    <border>
      <left/>
      <right/>
      <top/>
      <bottom style="medium">
        <color rgb="FFC8A84B"/>
      </bottom>
      <diagonal/>
    </border>
    <border>
      <left style="thin">
        <color rgb="FFB4C6E7"/>
      </left>
      <right style="thin">
        <color rgb="FFB4C6E7"/>
      </right>
      <top style="thin">
        <color rgb="FFB4C6E7"/>
      </top>
      <bottom style="thin">
        <color rgb="FFB4C6E7"/>
      </bottom>
      <diagonal/>
    </border>
    <border>
      <left style="thin">
        <color rgb="FFD0D5DD"/>
      </left>
      <right style="thin">
        <color rgb="FFD0D5DD"/>
      </right>
      <top style="thin">
        <color rgb="FFD0D5DD"/>
      </top>
      <bottom style="thin">
        <color rgb="FFD0D5DD"/>
      </bottom>
      <diagonal/>
    </border>
    <border>
      <left style="thin">
        <color rgb="FFC8A84B"/>
      </left>
      <right style="thin">
        <color rgb="FFC8A84B"/>
      </right>
      <top style="thin">
        <color rgb="FFC8A84B"/>
      </top>
      <bottom style="thin">
        <color rgb="FFC8A84B"/>
      </bottom>
      <diagonal/>
    </border>
    <border>
      <left style="thin">
        <color rgb="FFB4C6E7"/>
      </left>
      <right style="thin">
        <color rgb="FFB4C6E7"/>
      </right>
      <top style="thin">
        <color rgb="FFB4C6E7"/>
      </top>
      <bottom/>
      <diagonal/>
    </border>
    <border>
      <left style="thin">
        <color rgb="FFB4C6E7"/>
      </left>
      <right/>
      <top style="thin">
        <color rgb="FFB4C6E7"/>
      </top>
      <bottom style="thin">
        <color rgb="FFB4C6E7"/>
      </bottom>
      <diagonal/>
    </border>
    <border>
      <left/>
      <right/>
      <top/>
      <bottom style="thin">
        <color rgb="FF1A2E5E"/>
      </bottom>
      <diagonal/>
    </border>
    <border>
      <left style="thin">
        <color rgb="FF1A2E5E"/>
      </left>
      <right/>
      <top style="thin">
        <color rgb="FF1A2E5E"/>
      </top>
      <bottom/>
      <diagonal/>
    </border>
  </borders>
  <cellStyleXfs count="1">
    <xf numFmtId="0" fontId="0" fillId="0" borderId="0"/>
  </cellStyleXfs>
  <cellXfs count="118">
    <xf numFmtId="0" fontId="0" fillId="0" borderId="0" xfId="0"/>
    <xf numFmtId="0" fontId="17" fillId="14" borderId="2" xfId="0" applyFont="1" applyFill="1" applyBorder="1" applyAlignment="1">
      <alignment horizontal="center" vertical="center" wrapText="1" readingOrder="2"/>
    </xf>
    <xf numFmtId="0" fontId="5" fillId="2" borderId="6" xfId="0" applyFont="1" applyFill="1" applyBorder="1" applyAlignment="1">
      <alignment horizontal="right" vertical="center" readingOrder="2"/>
    </xf>
    <xf numFmtId="0" fontId="21" fillId="7" borderId="6" xfId="0" applyFont="1" applyFill="1" applyBorder="1" applyAlignment="1">
      <alignment horizontal="right" vertical="center" readingOrder="2"/>
    </xf>
    <xf numFmtId="0" fontId="20" fillId="13" borderId="5" xfId="0" applyFont="1" applyFill="1" applyBorder="1" applyAlignment="1">
      <alignment horizontal="center" vertical="center" wrapText="1" readingOrder="2"/>
    </xf>
    <xf numFmtId="0" fontId="17" fillId="2" borderId="2" xfId="0" applyFont="1" applyFill="1" applyBorder="1" applyAlignment="1">
      <alignment horizontal="center" vertical="center" wrapText="1" readingOrder="2"/>
    </xf>
    <xf numFmtId="0" fontId="18" fillId="0" borderId="0" xfId="0" applyFont="1" applyAlignment="1">
      <alignment horizontal="right" vertical="top" wrapText="1" readingOrder="2"/>
    </xf>
    <xf numFmtId="0" fontId="15" fillId="9" borderId="0" xfId="0" applyFont="1" applyFill="1" applyAlignment="1">
      <alignment horizontal="right" vertical="center" wrapText="1" readingOrder="2"/>
    </xf>
    <xf numFmtId="0" fontId="10" fillId="6" borderId="0" xfId="0" applyFont="1" applyFill="1" applyAlignment="1">
      <alignment horizontal="right" vertical="center" wrapText="1" readingOrder="2"/>
    </xf>
    <xf numFmtId="0" fontId="9" fillId="7" borderId="0" xfId="0" applyFont="1" applyFill="1" applyAlignment="1">
      <alignment horizontal="right" vertical="center" wrapText="1" readingOrder="2"/>
    </xf>
    <xf numFmtId="0" fontId="8" fillId="8" borderId="0" xfId="0" applyFont="1" applyFill="1" applyAlignment="1">
      <alignment horizontal="right" vertical="center" wrapText="1" readingOrder="2"/>
    </xf>
    <xf numFmtId="0" fontId="4" fillId="0" borderId="0" xfId="0" applyFont="1" applyAlignment="1">
      <alignment horizontal="right" vertical="top" wrapText="1" readingOrder="2"/>
    </xf>
    <xf numFmtId="0" fontId="3" fillId="0" borderId="1" xfId="0" applyFont="1" applyBorder="1" applyAlignment="1">
      <alignment horizontal="right" vertical="center" readingOrder="2"/>
    </xf>
    <xf numFmtId="0" fontId="2" fillId="3" borderId="0" xfId="0" applyFont="1" applyFill="1" applyAlignment="1">
      <alignment horizontal="right" vertical="center" readingOrder="2"/>
    </xf>
    <xf numFmtId="0" fontId="1" fillId="2" borderId="0" xfId="0" applyFont="1" applyFill="1" applyAlignment="1">
      <alignment horizontal="right" vertical="center" readingOrder="2"/>
    </xf>
    <xf numFmtId="0" fontId="5" fillId="2" borderId="2" xfId="0" applyFont="1" applyFill="1" applyBorder="1" applyAlignment="1">
      <alignment horizontal="center" vertical="center" wrapText="1" readingOrder="2"/>
    </xf>
    <xf numFmtId="0" fontId="6" fillId="0" borderId="3" xfId="0" applyFont="1" applyBorder="1" applyAlignment="1">
      <alignment horizontal="right" vertical="center" readingOrder="2"/>
    </xf>
    <xf numFmtId="0" fontId="7" fillId="0" borderId="3" xfId="0" applyFont="1" applyBorder="1" applyAlignment="1">
      <alignment horizontal="right" vertical="center" readingOrder="2"/>
    </xf>
    <xf numFmtId="0" fontId="7" fillId="0" borderId="3" xfId="0" applyFont="1" applyBorder="1" applyAlignment="1">
      <alignment horizontal="center" vertical="center" readingOrder="2"/>
    </xf>
    <xf numFmtId="0" fontId="6" fillId="4" borderId="3" xfId="0" applyFont="1" applyFill="1" applyBorder="1" applyAlignment="1">
      <alignment horizontal="right" vertical="center" readingOrder="2"/>
    </xf>
    <xf numFmtId="0" fontId="7" fillId="4" borderId="3" xfId="0" applyFont="1" applyFill="1" applyBorder="1" applyAlignment="1">
      <alignment horizontal="right" vertical="center" readingOrder="2"/>
    </xf>
    <xf numFmtId="0" fontId="7" fillId="4" borderId="3" xfId="0" applyFont="1" applyFill="1" applyBorder="1" applyAlignment="1">
      <alignment horizontal="center" vertical="center" readingOrder="2"/>
    </xf>
    <xf numFmtId="0" fontId="0" fillId="5" borderId="3" xfId="0" applyFill="1" applyBorder="1" applyProtection="1">
      <protection locked="0"/>
    </xf>
    <xf numFmtId="0" fontId="4" fillId="0" borderId="0" xfId="0" applyFont="1" applyAlignment="1">
      <alignment horizontal="right" vertical="center" readingOrder="2"/>
    </xf>
    <xf numFmtId="0" fontId="0" fillId="6" borderId="3" xfId="0" applyFill="1" applyBorder="1"/>
    <xf numFmtId="0" fontId="0" fillId="7" borderId="3" xfId="0" applyFill="1" applyBorder="1"/>
    <xf numFmtId="0" fontId="0" fillId="8" borderId="3" xfId="0" applyFill="1" applyBorder="1"/>
    <xf numFmtId="0" fontId="11" fillId="6" borderId="3" xfId="0" applyFont="1" applyFill="1" applyBorder="1" applyAlignment="1">
      <alignment horizontal="right" vertical="center" readingOrder="2"/>
    </xf>
    <xf numFmtId="0" fontId="11" fillId="6" borderId="3" xfId="0" applyFont="1" applyFill="1" applyBorder="1" applyAlignment="1">
      <alignment horizontal="center" vertical="center" readingOrder="2"/>
    </xf>
    <xf numFmtId="0" fontId="12" fillId="0" borderId="0" xfId="0" applyFont="1" applyAlignment="1">
      <alignment horizontal="right" vertical="center" wrapText="1" readingOrder="2"/>
    </xf>
    <xf numFmtId="0" fontId="13" fillId="5" borderId="4" xfId="0" applyFont="1" applyFill="1" applyBorder="1" applyAlignment="1" applyProtection="1">
      <alignment horizontal="center" vertical="center" readingOrder="2"/>
      <protection locked="0"/>
    </xf>
    <xf numFmtId="164" fontId="13" fillId="5" borderId="4" xfId="0" applyNumberFormat="1" applyFont="1" applyFill="1" applyBorder="1" applyAlignment="1" applyProtection="1">
      <alignment horizontal="center" vertical="center" readingOrder="2"/>
      <protection locked="0"/>
    </xf>
    <xf numFmtId="1" fontId="13" fillId="5" borderId="4" xfId="0" applyNumberFormat="1" applyFont="1" applyFill="1" applyBorder="1" applyAlignment="1" applyProtection="1">
      <alignment horizontal="center" vertical="center" readingOrder="2"/>
      <protection locked="0"/>
    </xf>
    <xf numFmtId="0" fontId="14" fillId="0" borderId="3" xfId="0" applyFont="1" applyBorder="1" applyAlignment="1">
      <alignment horizontal="center" vertical="center" readingOrder="2"/>
    </xf>
    <xf numFmtId="1" fontId="14" fillId="0" borderId="3" xfId="0" applyNumberFormat="1" applyFont="1" applyBorder="1" applyAlignment="1">
      <alignment horizontal="center" vertical="center" readingOrder="2"/>
    </xf>
    <xf numFmtId="165" fontId="13" fillId="5" borderId="4" xfId="0" applyNumberFormat="1" applyFont="1" applyFill="1" applyBorder="1" applyAlignment="1" applyProtection="1">
      <alignment horizontal="center" vertical="center" readingOrder="2"/>
      <protection locked="0"/>
    </xf>
    <xf numFmtId="165" fontId="14" fillId="0" borderId="3" xfId="0" applyNumberFormat="1" applyFont="1" applyBorder="1" applyAlignment="1">
      <alignment horizontal="center" vertical="center" readingOrder="2"/>
    </xf>
    <xf numFmtId="2" fontId="13" fillId="5" borderId="4" xfId="0" applyNumberFormat="1" applyFont="1" applyFill="1" applyBorder="1" applyAlignment="1" applyProtection="1">
      <alignment horizontal="center" vertical="center" readingOrder="2"/>
      <protection locked="0"/>
    </xf>
    <xf numFmtId="0" fontId="14" fillId="9" borderId="3" xfId="0" applyFont="1" applyFill="1" applyBorder="1" applyAlignment="1">
      <alignment horizontal="center" vertical="center" readingOrder="2"/>
    </xf>
    <xf numFmtId="9" fontId="7" fillId="0" borderId="3" xfId="0" applyNumberFormat="1" applyFont="1" applyBorder="1" applyAlignment="1">
      <alignment horizontal="center" vertical="center" readingOrder="2"/>
    </xf>
    <xf numFmtId="0" fontId="14" fillId="10" borderId="3" xfId="0" applyFont="1" applyFill="1" applyBorder="1" applyAlignment="1">
      <alignment horizontal="center" vertical="center" readingOrder="2"/>
    </xf>
    <xf numFmtId="0" fontId="14" fillId="8" borderId="3" xfId="0" applyFont="1" applyFill="1" applyBorder="1" applyAlignment="1">
      <alignment horizontal="center" vertical="center" readingOrder="2"/>
    </xf>
    <xf numFmtId="0" fontId="14" fillId="11" borderId="3" xfId="0" applyFont="1" applyFill="1" applyBorder="1" applyAlignment="1">
      <alignment horizontal="center" vertical="center" readingOrder="2"/>
    </xf>
    <xf numFmtId="0" fontId="14" fillId="12" borderId="3" xfId="0" applyFont="1" applyFill="1" applyBorder="1" applyAlignment="1">
      <alignment horizontal="center" vertical="center" readingOrder="2"/>
    </xf>
    <xf numFmtId="0" fontId="14" fillId="7" borderId="3" xfId="0" applyFont="1" applyFill="1" applyBorder="1" applyAlignment="1">
      <alignment horizontal="center" vertical="center" readingOrder="2"/>
    </xf>
    <xf numFmtId="0" fontId="13" fillId="5" borderId="4" xfId="0" applyFont="1" applyFill="1" applyBorder="1" applyAlignment="1" applyProtection="1">
      <alignment horizontal="right" vertical="center" readingOrder="2"/>
      <protection locked="0"/>
    </xf>
    <xf numFmtId="165" fontId="16" fillId="0" borderId="3" xfId="0" applyNumberFormat="1" applyFont="1" applyBorder="1" applyAlignment="1">
      <alignment horizontal="center" vertical="center" readingOrder="2"/>
    </xf>
    <xf numFmtId="3" fontId="13" fillId="5" borderId="4" xfId="0" applyNumberFormat="1" applyFont="1" applyFill="1" applyBorder="1" applyAlignment="1" applyProtection="1">
      <alignment horizontal="center" vertical="center" readingOrder="2"/>
      <protection locked="0"/>
    </xf>
    <xf numFmtId="4" fontId="16" fillId="0" borderId="3" xfId="0" applyNumberFormat="1" applyFont="1" applyBorder="1" applyAlignment="1">
      <alignment horizontal="center" vertical="center" readingOrder="2"/>
    </xf>
    <xf numFmtId="166" fontId="13" fillId="5" borderId="4" xfId="0" applyNumberFormat="1" applyFont="1" applyFill="1" applyBorder="1" applyAlignment="1" applyProtection="1">
      <alignment horizontal="center" vertical="center" readingOrder="2"/>
      <protection locked="0"/>
    </xf>
    <xf numFmtId="0" fontId="17" fillId="2" borderId="0" xfId="0" applyFont="1" applyFill="1" applyAlignment="1">
      <alignment horizontal="center" vertical="center" readingOrder="2"/>
    </xf>
    <xf numFmtId="1" fontId="16" fillId="0" borderId="3" xfId="0" applyNumberFormat="1" applyFont="1" applyBorder="1" applyAlignment="1">
      <alignment horizontal="center" vertical="center" readingOrder="2"/>
    </xf>
    <xf numFmtId="164" fontId="16" fillId="0" borderId="3" xfId="0" applyNumberFormat="1" applyFont="1" applyBorder="1" applyAlignment="1">
      <alignment horizontal="center" vertical="center" readingOrder="2"/>
    </xf>
    <xf numFmtId="0" fontId="19" fillId="0" borderId="0" xfId="0" applyFont="1" applyAlignment="1">
      <alignment horizontal="right" vertical="center" readingOrder="2"/>
    </xf>
    <xf numFmtId="1" fontId="14" fillId="7" borderId="3" xfId="0" applyNumberFormat="1" applyFont="1" applyFill="1" applyBorder="1" applyAlignment="1">
      <alignment horizontal="center" vertical="center" readingOrder="2"/>
    </xf>
    <xf numFmtId="167" fontId="14" fillId="7" borderId="3" xfId="0" applyNumberFormat="1" applyFont="1" applyFill="1" applyBorder="1" applyAlignment="1">
      <alignment horizontal="center" vertical="center" readingOrder="2"/>
    </xf>
    <xf numFmtId="3" fontId="14" fillId="7" borderId="3" xfId="0" applyNumberFormat="1" applyFont="1" applyFill="1" applyBorder="1" applyAlignment="1">
      <alignment horizontal="center" vertical="center" readingOrder="2"/>
    </xf>
    <xf numFmtId="168" fontId="20" fillId="2" borderId="2" xfId="0" applyNumberFormat="1" applyFont="1" applyFill="1" applyBorder="1" applyAlignment="1">
      <alignment horizontal="center" vertical="center" readingOrder="2"/>
    </xf>
    <xf numFmtId="1" fontId="20" fillId="2" borderId="2" xfId="0" applyNumberFormat="1" applyFont="1" applyFill="1" applyBorder="1" applyAlignment="1">
      <alignment horizontal="center" vertical="center" readingOrder="2"/>
    </xf>
    <xf numFmtId="0" fontId="22" fillId="7" borderId="2" xfId="0" applyFont="1" applyFill="1" applyBorder="1" applyAlignment="1">
      <alignment horizontal="center" vertical="center" readingOrder="2"/>
    </xf>
    <xf numFmtId="0" fontId="0" fillId="13" borderId="0" xfId="0" applyFill="1"/>
    <xf numFmtId="0" fontId="16" fillId="0" borderId="3" xfId="0" applyFont="1" applyBorder="1" applyAlignment="1">
      <alignment horizontal="right" vertical="center" readingOrder="2"/>
    </xf>
    <xf numFmtId="0" fontId="16" fillId="0" borderId="3" xfId="0" applyFont="1" applyBorder="1" applyAlignment="1">
      <alignment horizontal="center" vertical="center" readingOrder="2"/>
    </xf>
    <xf numFmtId="9" fontId="14" fillId="0" borderId="3" xfId="0" applyNumberFormat="1" applyFont="1" applyBorder="1" applyAlignment="1">
      <alignment horizontal="center" vertical="center" readingOrder="2"/>
    </xf>
    <xf numFmtId="3" fontId="16" fillId="0" borderId="3" xfId="0" applyNumberFormat="1" applyFont="1" applyBorder="1" applyAlignment="1">
      <alignment horizontal="center" vertical="center" readingOrder="2"/>
    </xf>
    <xf numFmtId="0" fontId="23" fillId="0" borderId="3" xfId="0" applyFont="1" applyBorder="1" applyAlignment="1" applyProtection="1">
      <alignment horizontal="center" vertical="center" readingOrder="2"/>
      <protection locked="0"/>
    </xf>
    <xf numFmtId="1" fontId="24" fillId="0" borderId="3" xfId="0" applyNumberFormat="1" applyFont="1" applyBorder="1" applyAlignment="1">
      <alignment horizontal="center" vertical="center" readingOrder="2"/>
    </xf>
    <xf numFmtId="165" fontId="14" fillId="7" borderId="3" xfId="0" applyNumberFormat="1" applyFont="1" applyFill="1" applyBorder="1" applyAlignment="1">
      <alignment horizontal="center" vertical="center" readingOrder="2"/>
    </xf>
    <xf numFmtId="9" fontId="14" fillId="7" borderId="3" xfId="0" applyNumberFormat="1" applyFont="1" applyFill="1" applyBorder="1" applyAlignment="1">
      <alignment horizontal="center" vertical="center" readingOrder="2"/>
    </xf>
    <xf numFmtId="9" fontId="25" fillId="7" borderId="3" xfId="0" applyNumberFormat="1" applyFont="1" applyFill="1" applyBorder="1" applyAlignment="1">
      <alignment horizontal="center" vertical="center" readingOrder="2"/>
    </xf>
    <xf numFmtId="1" fontId="24" fillId="7" borderId="3" xfId="0" applyNumberFormat="1" applyFont="1" applyFill="1" applyBorder="1" applyAlignment="1">
      <alignment horizontal="center" vertical="center" readingOrder="2"/>
    </xf>
    <xf numFmtId="169" fontId="14" fillId="7" borderId="3" xfId="0" applyNumberFormat="1" applyFont="1" applyFill="1" applyBorder="1" applyAlignment="1">
      <alignment horizontal="center" vertical="center" readingOrder="2"/>
    </xf>
    <xf numFmtId="0" fontId="26" fillId="0" borderId="3" xfId="0" applyFont="1" applyBorder="1" applyAlignment="1">
      <alignment horizontal="right" vertical="center" readingOrder="2"/>
    </xf>
    <xf numFmtId="166" fontId="26" fillId="0" borderId="3" xfId="0" applyNumberFormat="1" applyFont="1" applyBorder="1" applyAlignment="1">
      <alignment horizontal="center" vertical="center" readingOrder="2"/>
    </xf>
    <xf numFmtId="3" fontId="26" fillId="0" borderId="3" xfId="0" applyNumberFormat="1" applyFont="1" applyBorder="1" applyAlignment="1">
      <alignment horizontal="center" vertical="center" readingOrder="2"/>
    </xf>
    <xf numFmtId="2" fontId="26" fillId="0" borderId="3" xfId="0" applyNumberFormat="1" applyFont="1" applyBorder="1" applyAlignment="1">
      <alignment horizontal="center" vertical="center" readingOrder="2"/>
    </xf>
    <xf numFmtId="1" fontId="26" fillId="0" borderId="3" xfId="0" applyNumberFormat="1" applyFont="1" applyBorder="1" applyAlignment="1">
      <alignment horizontal="center" vertical="center" readingOrder="2"/>
    </xf>
    <xf numFmtId="2" fontId="16" fillId="0" borderId="3" xfId="0" applyNumberFormat="1" applyFont="1" applyBorder="1" applyAlignment="1">
      <alignment horizontal="center" vertical="center" readingOrder="2"/>
    </xf>
    <xf numFmtId="2" fontId="14" fillId="0" borderId="3" xfId="0" applyNumberFormat="1" applyFont="1" applyBorder="1" applyAlignment="1">
      <alignment horizontal="center" vertical="center" readingOrder="2"/>
    </xf>
    <xf numFmtId="4" fontId="14" fillId="0" borderId="3" xfId="0" applyNumberFormat="1" applyFont="1" applyBorder="1" applyAlignment="1">
      <alignment horizontal="center" vertical="center" readingOrder="2"/>
    </xf>
    <xf numFmtId="2" fontId="14" fillId="7" borderId="3" xfId="0" applyNumberFormat="1" applyFont="1" applyFill="1" applyBorder="1" applyAlignment="1">
      <alignment horizontal="center" vertical="center" readingOrder="2"/>
    </xf>
    <xf numFmtId="4" fontId="14" fillId="7" borderId="3" xfId="0" applyNumberFormat="1" applyFont="1" applyFill="1" applyBorder="1" applyAlignment="1">
      <alignment horizontal="center" vertical="center" readingOrder="2"/>
    </xf>
    <xf numFmtId="0" fontId="27" fillId="0" borderId="0" xfId="0" applyFont="1" applyAlignment="1">
      <alignment horizontal="right" vertical="center" readingOrder="2"/>
    </xf>
    <xf numFmtId="0" fontId="28" fillId="13" borderId="0" xfId="0" applyFont="1" applyFill="1" applyAlignment="1">
      <alignment horizontal="center" vertical="center" readingOrder="2"/>
    </xf>
    <xf numFmtId="1" fontId="29" fillId="0" borderId="3" xfId="0" applyNumberFormat="1" applyFont="1" applyBorder="1" applyAlignment="1">
      <alignment horizontal="center" vertical="center" readingOrder="2"/>
    </xf>
    <xf numFmtId="1" fontId="14" fillId="8" borderId="3" xfId="0" applyNumberFormat="1" applyFont="1" applyFill="1" applyBorder="1" applyAlignment="1">
      <alignment horizontal="center" vertical="center" readingOrder="2"/>
    </xf>
    <xf numFmtId="9" fontId="16" fillId="0" borderId="3" xfId="0" applyNumberFormat="1" applyFont="1" applyBorder="1" applyAlignment="1">
      <alignment horizontal="center" vertical="center" readingOrder="2"/>
    </xf>
    <xf numFmtId="0" fontId="14" fillId="0" borderId="3" xfId="0" applyFont="1" applyBorder="1" applyAlignment="1">
      <alignment horizontal="right" vertical="center" readingOrder="2"/>
    </xf>
    <xf numFmtId="167" fontId="16" fillId="0" borderId="3" xfId="0" applyNumberFormat="1" applyFont="1" applyBorder="1" applyAlignment="1">
      <alignment horizontal="center" vertical="center" readingOrder="2"/>
    </xf>
    <xf numFmtId="1" fontId="16" fillId="4" borderId="3" xfId="0" applyNumberFormat="1" applyFont="1" applyFill="1" applyBorder="1" applyAlignment="1">
      <alignment horizontal="center" vertical="center" readingOrder="2"/>
    </xf>
    <xf numFmtId="167" fontId="16" fillId="4" borderId="3" xfId="0" applyNumberFormat="1" applyFont="1" applyFill="1" applyBorder="1" applyAlignment="1">
      <alignment horizontal="center" vertical="center" readingOrder="2"/>
    </xf>
    <xf numFmtId="3" fontId="16" fillId="4" borderId="3" xfId="0" applyNumberFormat="1" applyFont="1" applyFill="1" applyBorder="1" applyAlignment="1">
      <alignment horizontal="center" vertical="center" readingOrder="2"/>
    </xf>
    <xf numFmtId="165" fontId="16" fillId="4" borderId="3" xfId="0" applyNumberFormat="1" applyFont="1" applyFill="1" applyBorder="1" applyAlignment="1">
      <alignment horizontal="center" vertical="center" readingOrder="2"/>
    </xf>
    <xf numFmtId="0" fontId="31" fillId="5" borderId="4" xfId="0" applyFont="1" applyFill="1" applyBorder="1" applyAlignment="1" applyProtection="1">
      <alignment horizontal="center" vertical="center" readingOrder="2"/>
      <protection locked="0"/>
    </xf>
    <xf numFmtId="164" fontId="14" fillId="0" borderId="3" xfId="0" applyNumberFormat="1" applyFont="1" applyBorder="1" applyAlignment="1">
      <alignment horizontal="right" vertical="center" readingOrder="2"/>
    </xf>
    <xf numFmtId="165" fontId="14" fillId="0" borderId="3" xfId="0" applyNumberFormat="1" applyFont="1" applyBorder="1" applyAlignment="1">
      <alignment horizontal="right" vertical="center" readingOrder="2"/>
    </xf>
    <xf numFmtId="1" fontId="14" fillId="0" borderId="3" xfId="0" applyNumberFormat="1" applyFont="1" applyBorder="1" applyAlignment="1">
      <alignment horizontal="right" vertical="center" readingOrder="2"/>
    </xf>
    <xf numFmtId="1" fontId="14" fillId="8" borderId="3" xfId="0" applyNumberFormat="1" applyFont="1" applyFill="1" applyBorder="1" applyAlignment="1">
      <alignment horizontal="right" vertical="center" readingOrder="2"/>
    </xf>
    <xf numFmtId="167" fontId="14" fillId="9" borderId="3" xfId="0" applyNumberFormat="1" applyFont="1" applyFill="1" applyBorder="1" applyAlignment="1">
      <alignment horizontal="right" vertical="center" readingOrder="2"/>
    </xf>
    <xf numFmtId="3" fontId="14" fillId="10" borderId="3" xfId="0" applyNumberFormat="1" applyFont="1" applyFill="1" applyBorder="1" applyAlignment="1">
      <alignment horizontal="right" vertical="center" readingOrder="2"/>
    </xf>
    <xf numFmtId="165" fontId="14" fillId="7" borderId="3" xfId="0" applyNumberFormat="1" applyFont="1" applyFill="1" applyBorder="1" applyAlignment="1">
      <alignment horizontal="right" vertical="center" readingOrder="2"/>
    </xf>
    <xf numFmtId="2" fontId="14" fillId="0" borderId="3" xfId="0" applyNumberFormat="1" applyFont="1" applyBorder="1" applyAlignment="1">
      <alignment horizontal="right" vertical="center" readingOrder="2"/>
    </xf>
    <xf numFmtId="2" fontId="14" fillId="8" borderId="3" xfId="0" applyNumberFormat="1" applyFont="1" applyFill="1" applyBorder="1" applyAlignment="1">
      <alignment horizontal="right" vertical="center" readingOrder="2"/>
    </xf>
    <xf numFmtId="4" fontId="14" fillId="0" borderId="3" xfId="0" applyNumberFormat="1" applyFont="1" applyBorder="1" applyAlignment="1">
      <alignment horizontal="right" vertical="center" readingOrder="2"/>
    </xf>
    <xf numFmtId="4" fontId="14" fillId="9" borderId="3" xfId="0" applyNumberFormat="1" applyFont="1" applyFill="1" applyBorder="1" applyAlignment="1">
      <alignment horizontal="right" vertical="center" readingOrder="2"/>
    </xf>
    <xf numFmtId="0" fontId="0" fillId="0" borderId="7" xfId="0" applyBorder="1"/>
    <xf numFmtId="0" fontId="31" fillId="5" borderId="4" xfId="0" applyFont="1" applyFill="1" applyBorder="1" applyAlignment="1" applyProtection="1">
      <alignment horizontal="right" vertical="center" readingOrder="2"/>
      <protection locked="0"/>
    </xf>
    <xf numFmtId="164" fontId="13" fillId="5" borderId="4" xfId="0" applyNumberFormat="1" applyFont="1" applyFill="1" applyBorder="1" applyAlignment="1" applyProtection="1">
      <alignment horizontal="right" vertical="center" readingOrder="2"/>
      <protection locked="0"/>
    </xf>
    <xf numFmtId="3" fontId="14" fillId="0" borderId="3" xfId="0" applyNumberFormat="1" applyFont="1" applyBorder="1" applyAlignment="1">
      <alignment horizontal="right" vertical="center" readingOrder="2"/>
    </xf>
    <xf numFmtId="0" fontId="17" fillId="15" borderId="2" xfId="0" applyFont="1" applyFill="1" applyBorder="1" applyAlignment="1">
      <alignment horizontal="center" vertical="center" wrapText="1" readingOrder="2"/>
    </xf>
    <xf numFmtId="1" fontId="30" fillId="6" borderId="2" xfId="0" applyNumberFormat="1" applyFont="1" applyFill="1" applyBorder="1" applyAlignment="1">
      <alignment horizontal="center" vertical="center" readingOrder="2"/>
    </xf>
    <xf numFmtId="167" fontId="30" fillId="6" borderId="2" xfId="0" applyNumberFormat="1" applyFont="1" applyFill="1" applyBorder="1" applyAlignment="1">
      <alignment horizontal="center" vertical="center" readingOrder="2"/>
    </xf>
    <xf numFmtId="0" fontId="17" fillId="16" borderId="2" xfId="0" applyFont="1" applyFill="1" applyBorder="1" applyAlignment="1">
      <alignment horizontal="center" vertical="center" wrapText="1" readingOrder="2"/>
    </xf>
    <xf numFmtId="3" fontId="30" fillId="6" borderId="2" xfId="0" applyNumberFormat="1" applyFont="1" applyFill="1" applyBorder="1" applyAlignment="1">
      <alignment horizontal="center" vertical="center" readingOrder="2"/>
    </xf>
    <xf numFmtId="169" fontId="30" fillId="6" borderId="2" xfId="0" applyNumberFormat="1" applyFont="1" applyFill="1" applyBorder="1" applyAlignment="1">
      <alignment horizontal="center" vertical="center" readingOrder="2"/>
    </xf>
    <xf numFmtId="0" fontId="18" fillId="0" borderId="0" xfId="0" applyFont="1" applyAlignment="1">
      <alignment horizontal="right" vertical="center" readingOrder="2"/>
    </xf>
    <xf numFmtId="0" fontId="32" fillId="17" borderId="8" xfId="0" applyFont="1" applyFill="1" applyBorder="1" applyAlignment="1">
      <alignment horizontal="right" vertical="top" wrapText="1" readingOrder="2"/>
    </xf>
    <xf numFmtId="0" fontId="13" fillId="5" borderId="4" xfId="0" applyFont="1" applyFill="1" applyBorder="1" applyAlignment="1" applyProtection="1">
      <alignment horizontal="center" wrapText="1" readingOrder="2"/>
      <protection locked="0"/>
    </xf>
  </cellXfs>
  <cellStyles count="1">
    <cellStyle name="Normal" xfId="0" builtinId="0"/>
  </cellStyles>
  <dxfs count="33">
    <dxf>
      <font>
        <b/>
        <sz val="10"/>
        <color rgb="FFA8382F"/>
        <name val="Arial"/>
        <charset val="1"/>
      </font>
    </dxf>
    <dxf>
      <font>
        <b/>
        <sz val="9"/>
        <color rgb="FF1A2E5E"/>
        <name val="Arial"/>
        <charset val="1"/>
      </font>
      <fill>
        <patternFill>
          <bgColor rgb="FFF7EFD9"/>
        </patternFill>
      </fill>
    </dxf>
    <dxf>
      <font>
        <b/>
        <sz val="9"/>
        <color rgb="FFB0762A"/>
        <name val="Arial"/>
        <charset val="1"/>
      </font>
      <fill>
        <patternFill>
          <bgColor rgb="FFFBF3E4"/>
        </patternFill>
      </fill>
    </dxf>
    <dxf>
      <font>
        <b/>
        <sz val="9"/>
        <color rgb="FFA8382F"/>
        <name val="Arial"/>
        <charset val="1"/>
      </font>
      <fill>
        <patternFill>
          <bgColor rgb="FFFBEAE8"/>
        </patternFill>
      </fill>
    </dxf>
    <dxf>
      <font>
        <b/>
        <sz val="10"/>
        <color rgb="FFB0762A"/>
        <name val="Arial"/>
        <charset val="1"/>
      </font>
      <fill>
        <patternFill>
          <bgColor rgb="FFFBF3E4"/>
        </patternFill>
      </fill>
    </dxf>
    <dxf>
      <font>
        <b/>
        <sz val="10"/>
        <color rgb="FFA8382F"/>
        <name val="Arial"/>
        <charset val="1"/>
      </font>
      <fill>
        <patternFill>
          <bgColor rgb="FFFBEAE8"/>
        </patternFill>
      </fill>
    </dxf>
    <dxf>
      <font>
        <b/>
        <sz val="10"/>
        <color rgb="FFA8382F"/>
        <name val="Arial"/>
        <charset val="1"/>
      </font>
      <fill>
        <patternFill>
          <bgColor rgb="FFFBEAE8"/>
        </patternFill>
      </fill>
    </dxf>
    <dxf>
      <font>
        <b/>
        <sz val="10"/>
        <color rgb="FFA8382F"/>
        <name val="Arial"/>
        <charset val="1"/>
      </font>
      <fill>
        <patternFill>
          <bgColor rgb="FFFBEAE8"/>
        </patternFill>
      </fill>
    </dxf>
    <dxf>
      <font>
        <b/>
        <sz val="9"/>
        <color rgb="FFA8382F"/>
        <name val="Arial"/>
        <charset val="1"/>
      </font>
      <fill>
        <patternFill>
          <bgColor rgb="FFFBEAE8"/>
        </patternFill>
      </fill>
    </dxf>
    <dxf>
      <font>
        <b/>
        <sz val="9"/>
        <color rgb="FFB0762A"/>
        <name val="Arial"/>
        <charset val="1"/>
      </font>
      <fill>
        <patternFill>
          <bgColor rgb="FFFBF3E4"/>
        </patternFill>
      </fill>
    </dxf>
    <dxf>
      <fill>
        <patternFill>
          <bgColor rgb="FFE3E9F5"/>
        </patternFill>
      </fill>
    </dxf>
    <dxf>
      <fill>
        <patternFill>
          <bgColor rgb="FFE3E9F5"/>
        </patternFill>
      </fill>
    </dxf>
    <dxf>
      <fill>
        <patternFill>
          <bgColor rgb="FFE3E9F5"/>
        </patternFill>
      </fill>
    </dxf>
    <dxf>
      <fill>
        <patternFill>
          <bgColor rgb="FFE3E9F5"/>
        </patternFill>
      </fill>
    </dxf>
    <dxf>
      <fill>
        <patternFill>
          <bgColor rgb="FFE3E9F5"/>
        </patternFill>
      </fill>
    </dxf>
    <dxf>
      <fill>
        <patternFill>
          <bgColor rgb="FFE3E9F5"/>
        </patternFill>
      </fill>
    </dxf>
    <dxf>
      <fill>
        <patternFill>
          <bgColor rgb="FFFBF3E4"/>
        </patternFill>
      </fill>
    </dxf>
    <dxf>
      <fill>
        <patternFill>
          <bgColor rgb="FFE6F5EF"/>
        </patternFill>
      </fill>
    </dxf>
    <dxf>
      <fill>
        <patternFill>
          <bgColor rgb="FFE7E6E6"/>
        </patternFill>
      </fill>
    </dxf>
    <dxf>
      <fill>
        <patternFill>
          <bgColor rgb="FFF7EFD9"/>
        </patternFill>
      </fill>
    </dxf>
    <dxf>
      <fill>
        <patternFill>
          <bgColor rgb="FFFBEAE8"/>
        </patternFill>
      </fill>
    </dxf>
    <dxf>
      <fill>
        <patternFill>
          <bgColor rgb="FFFBF3E4"/>
        </patternFill>
      </fill>
    </dxf>
    <dxf>
      <fill>
        <patternFill>
          <bgColor rgb="FFFBF3E4"/>
        </patternFill>
      </fill>
    </dxf>
    <dxf>
      <fill>
        <patternFill>
          <bgColor rgb="FFE7E6E6"/>
        </patternFill>
      </fill>
    </dxf>
    <dxf>
      <fill>
        <patternFill>
          <bgColor rgb="FFE3E9F5"/>
        </patternFill>
      </fill>
    </dxf>
    <dxf>
      <fill>
        <patternFill>
          <bgColor rgb="FFFBEAE8"/>
        </patternFill>
      </fill>
    </dxf>
    <dxf>
      <fill>
        <patternFill>
          <bgColor rgb="FFFBF3E4"/>
        </patternFill>
      </fill>
    </dxf>
    <dxf>
      <fill>
        <patternFill>
          <bgColor rgb="FFE6F5EF"/>
        </patternFill>
      </fill>
    </dxf>
    <dxf>
      <fill>
        <patternFill>
          <bgColor rgb="FFBFBFBF"/>
        </patternFill>
      </fill>
    </dxf>
    <dxf>
      <fill>
        <patternFill>
          <bgColor rgb="FFF7EFD9"/>
        </patternFill>
      </fill>
    </dxf>
    <dxf>
      <fill>
        <patternFill>
          <bgColor rgb="FFD6DEEF"/>
        </patternFill>
      </fill>
    </dxf>
    <dxf>
      <font>
        <b/>
        <sz val="9"/>
        <color rgb="FFA8382F"/>
        <name val="Arial"/>
        <charset val="1"/>
      </font>
      <fill>
        <patternFill>
          <bgColor rgb="FFFBEAE8"/>
        </patternFill>
      </fill>
    </dxf>
    <dxf>
      <font>
        <b/>
        <sz val="9"/>
        <color rgb="FFA8382F"/>
        <name val="Arial"/>
        <charset val="1"/>
      </font>
    </dxf>
  </dxfs>
  <tableStyles count="0" defaultTableStyle="TableStyleMedium2" defaultPivotStyle="PivotStyleLight16"/>
  <colors>
    <indexedColors>
      <rgbColor rgb="FF000000"/>
      <rgbColor rgb="FFFFFFFF"/>
      <rgbColor rgb="FFFF0000"/>
      <rgbColor rgb="FF00FF00"/>
      <rgbColor rgb="FF0000FF"/>
      <rgbColor rgb="FFF0F2F6"/>
      <rgbColor rgb="FFFF00FF"/>
      <rgbColor rgb="FF00FFFF"/>
      <rgbColor rgb="FF800000"/>
      <rgbColor rgb="FF008000"/>
      <rgbColor rgb="FF000080"/>
      <rgbColor rgb="FFB0762A"/>
      <rgbColor rgb="FF800080"/>
      <rgbColor rgb="FF008080"/>
      <rgbColor rgb="FFBFBFBF"/>
      <rgbColor rgb="FF6B7A94"/>
      <rgbColor rgb="FF9999FF"/>
      <rgbColor rgb="FF993366"/>
      <rgbColor rgb="FFFFF7E0"/>
      <rgbColor rgb="FFE6F5EF"/>
      <rgbColor rgb="FF660066"/>
      <rgbColor rgb="FFFF8080"/>
      <rgbColor rgb="FF0066CC"/>
      <rgbColor rgb="FFD0D5DD"/>
      <rgbColor rgb="FF000080"/>
      <rgbColor rgb="FFFF00FF"/>
      <rgbColor rgb="FFF4F6F9"/>
      <rgbColor rgb="FF00FFFF"/>
      <rgbColor rgb="FF800080"/>
      <rgbColor rgb="FF800000"/>
      <rgbColor rgb="FF008080"/>
      <rgbColor rgb="FF0000FF"/>
      <rgbColor rgb="FF00CCFF"/>
      <rgbColor rgb="FFE3E9F5"/>
      <rgbColor rgb="FFE7E6E6"/>
      <rgbColor rgb="FFF7EFD9"/>
      <rgbColor rgb="FFB4C6E7"/>
      <rgbColor rgb="FFFBF3E4"/>
      <rgbColor rgb="FFD6DEEF"/>
      <rgbColor rgb="FFFBEAE8"/>
      <rgbColor rgb="FF3366FF"/>
      <rgbColor rgb="FF33CCCC"/>
      <rgbColor rgb="FF99CC00"/>
      <rgbColor rgb="FFFFCC00"/>
      <rgbColor rgb="FFC8A84B"/>
      <rgbColor rgb="FFFF6600"/>
      <rgbColor rgb="FF666699"/>
      <rgbColor rgb="FF98A2B3"/>
      <rgbColor rgb="FF1A2E5E"/>
      <rgbColor rgb="FF2EA67A"/>
      <rgbColor rgb="FF003300"/>
      <rgbColor rgb="FF1A1A1A"/>
      <rgbColor rgb="FFA8382F"/>
      <rgbColor rgb="FF993366"/>
      <rgbColor rgb="FF2A4680"/>
      <rgbColor rgb="FF1424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863E7AE-0A43-4525-A6B6-4090B2A87B1E}">
  <we:reference id="wa200009404" version="1.0.0.8" store="en-US" storeType="OMEX"/>
  <we:alternateReferences>
    <we:reference id="wa200009404" version="1.0.0.8" store="" storeType="OMEX"/>
  </we:alternateReferences>
  <we:properties>
    <we:property name="claude.fileId" value="&quot;3942f026-149f-439c-bc12-31d2ac64c1c4&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showGridLines="0" rightToLeft="1" zoomScaleNormal="100" workbookViewId="0">
      <selection activeCell="O2" sqref="O2"/>
    </sheetView>
  </sheetViews>
  <sheetFormatPr defaultColWidth="8.6328125" defaultRowHeight="14.5" x14ac:dyDescent="0.35"/>
  <cols>
    <col min="1" max="1" width="3" customWidth="1"/>
    <col min="2" max="2" width="26" customWidth="1"/>
    <col min="3" max="3" width="62" customWidth="1"/>
    <col min="4" max="4" width="20" customWidth="1"/>
    <col min="5" max="6" width="14" customWidth="1"/>
  </cols>
  <sheetData>
    <row r="1" spans="1:6" ht="30" customHeight="1" x14ac:dyDescent="0.35">
      <c r="A1" s="14" t="s">
        <v>0</v>
      </c>
      <c r="B1" s="14"/>
      <c r="C1" s="14"/>
      <c r="D1" s="14"/>
      <c r="E1" s="14"/>
      <c r="F1" s="14"/>
    </row>
    <row r="2" spans="1:6" ht="18" customHeight="1" x14ac:dyDescent="0.35">
      <c r="A2" s="13" t="s">
        <v>1</v>
      </c>
      <c r="B2" s="13"/>
      <c r="C2" s="13"/>
      <c r="D2" s="13"/>
      <c r="E2" s="13"/>
      <c r="F2" s="13"/>
    </row>
    <row r="4" spans="1:6" ht="21.75" customHeight="1" x14ac:dyDescent="0.35">
      <c r="B4" s="12" t="s">
        <v>2</v>
      </c>
      <c r="C4" s="12"/>
      <c r="D4" s="12"/>
      <c r="E4" s="12"/>
    </row>
    <row r="5" spans="1:6" ht="15" customHeight="1" x14ac:dyDescent="0.35">
      <c r="B5" s="11" t="s">
        <v>3</v>
      </c>
      <c r="C5" s="11"/>
      <c r="D5" s="11"/>
      <c r="E5" s="11"/>
    </row>
    <row r="6" spans="1:6" x14ac:dyDescent="0.35">
      <c r="B6" s="11"/>
      <c r="C6" s="11"/>
      <c r="D6" s="11"/>
      <c r="E6" s="11"/>
    </row>
    <row r="7" spans="1:6" x14ac:dyDescent="0.35">
      <c r="B7" s="11"/>
      <c r="C7" s="11"/>
      <c r="D7" s="11"/>
      <c r="E7" s="11"/>
    </row>
    <row r="9" spans="1:6" ht="21.75" customHeight="1" x14ac:dyDescent="0.35">
      <c r="B9" s="12" t="s">
        <v>4</v>
      </c>
      <c r="C9" s="12"/>
      <c r="D9" s="12"/>
      <c r="E9" s="12"/>
    </row>
    <row r="10" spans="1:6" ht="30" customHeight="1" x14ac:dyDescent="0.35">
      <c r="B10" s="15" t="s">
        <v>5</v>
      </c>
      <c r="C10" s="15" t="s">
        <v>6</v>
      </c>
      <c r="D10" s="15" t="s">
        <v>7</v>
      </c>
      <c r="E10" s="15" t="s">
        <v>8</v>
      </c>
    </row>
    <row r="11" spans="1:6" ht="25.5" customHeight="1" x14ac:dyDescent="0.35">
      <c r="B11" s="16" t="s">
        <v>9</v>
      </c>
      <c r="C11" s="17" t="s">
        <v>10</v>
      </c>
      <c r="D11" s="17" t="s">
        <v>11</v>
      </c>
      <c r="E11" s="18" t="s">
        <v>12</v>
      </c>
    </row>
    <row r="12" spans="1:6" ht="25.5" customHeight="1" x14ac:dyDescent="0.35">
      <c r="B12" s="19" t="s">
        <v>13</v>
      </c>
      <c r="C12" s="20" t="s">
        <v>14</v>
      </c>
      <c r="D12" s="20" t="s">
        <v>15</v>
      </c>
      <c r="E12" s="21" t="s">
        <v>12</v>
      </c>
    </row>
    <row r="13" spans="1:6" ht="25.5" customHeight="1" x14ac:dyDescent="0.35">
      <c r="B13" s="16" t="s">
        <v>16</v>
      </c>
      <c r="C13" s="17" t="s">
        <v>17</v>
      </c>
      <c r="D13" s="17" t="s">
        <v>18</v>
      </c>
      <c r="E13" s="18" t="s">
        <v>12</v>
      </c>
    </row>
    <row r="14" spans="1:6" ht="25.5" customHeight="1" x14ac:dyDescent="0.35">
      <c r="B14" s="19" t="s">
        <v>19</v>
      </c>
      <c r="C14" s="20" t="s">
        <v>20</v>
      </c>
      <c r="D14" s="20" t="s">
        <v>21</v>
      </c>
      <c r="E14" s="21" t="s">
        <v>12</v>
      </c>
    </row>
    <row r="15" spans="1:6" ht="25.5" customHeight="1" x14ac:dyDescent="0.35">
      <c r="B15" s="16" t="s">
        <v>22</v>
      </c>
      <c r="C15" s="17" t="s">
        <v>23</v>
      </c>
      <c r="D15" s="17" t="s">
        <v>24</v>
      </c>
      <c r="E15" s="18" t="s">
        <v>25</v>
      </c>
    </row>
    <row r="16" spans="1:6" ht="25.5" customHeight="1" x14ac:dyDescent="0.35">
      <c r="B16" s="19" t="s">
        <v>26</v>
      </c>
      <c r="C16" s="20" t="s">
        <v>27</v>
      </c>
      <c r="D16" s="20" t="s">
        <v>28</v>
      </c>
      <c r="E16" s="21" t="s">
        <v>25</v>
      </c>
    </row>
    <row r="17" spans="1:6" ht="25.5" customHeight="1" x14ac:dyDescent="0.35">
      <c r="B17" s="16" t="s">
        <v>29</v>
      </c>
      <c r="C17" s="17" t="s">
        <v>30</v>
      </c>
      <c r="D17" s="17" t="s">
        <v>31</v>
      </c>
      <c r="E17" s="18" t="s">
        <v>32</v>
      </c>
    </row>
    <row r="18" spans="1:6" ht="25.5" customHeight="1" x14ac:dyDescent="0.35">
      <c r="B18" s="19" t="s">
        <v>33</v>
      </c>
      <c r="C18" s="20" t="s">
        <v>34</v>
      </c>
      <c r="D18" s="20" t="s">
        <v>35</v>
      </c>
      <c r="E18" s="21" t="s">
        <v>36</v>
      </c>
    </row>
    <row r="19" spans="1:6" ht="25.5" customHeight="1" x14ac:dyDescent="0.35">
      <c r="B19" s="16" t="s">
        <v>37</v>
      </c>
      <c r="C19" s="17" t="s">
        <v>38</v>
      </c>
      <c r="D19" s="17" t="s">
        <v>39</v>
      </c>
      <c r="E19" s="18" t="s">
        <v>36</v>
      </c>
    </row>
    <row r="20" spans="1:6" ht="25.5" customHeight="1" x14ac:dyDescent="0.35">
      <c r="B20" s="19" t="s">
        <v>40</v>
      </c>
      <c r="C20" s="20" t="s">
        <v>41</v>
      </c>
      <c r="D20" s="20" t="s">
        <v>42</v>
      </c>
      <c r="E20" s="21" t="s">
        <v>43</v>
      </c>
    </row>
    <row r="21" spans="1:6" ht="25.5" customHeight="1" x14ac:dyDescent="0.35">
      <c r="B21" s="16" t="s">
        <v>44</v>
      </c>
      <c r="C21" s="17" t="s">
        <v>45</v>
      </c>
      <c r="D21" s="17" t="s">
        <v>42</v>
      </c>
      <c r="E21" s="18" t="s">
        <v>43</v>
      </c>
    </row>
    <row r="22" spans="1:6" ht="25.5" customHeight="1" x14ac:dyDescent="0.35">
      <c r="B22" s="19" t="s">
        <v>46</v>
      </c>
      <c r="C22" s="20" t="s">
        <v>47</v>
      </c>
      <c r="D22" s="20" t="s">
        <v>42</v>
      </c>
      <c r="E22" s="21" t="s">
        <v>43</v>
      </c>
    </row>
    <row r="23" spans="1:6" ht="25.5" customHeight="1" x14ac:dyDescent="0.35">
      <c r="B23" s="16" t="s">
        <v>48</v>
      </c>
      <c r="C23" s="17" t="s">
        <v>49</v>
      </c>
      <c r="D23" s="17" t="s">
        <v>50</v>
      </c>
      <c r="E23" s="18" t="s">
        <v>43</v>
      </c>
    </row>
    <row r="24" spans="1:6" ht="25.5" customHeight="1" x14ac:dyDescent="0.35">
      <c r="B24" s="19" t="s">
        <v>51</v>
      </c>
      <c r="C24" s="20" t="s">
        <v>52</v>
      </c>
      <c r="D24" s="20" t="s">
        <v>50</v>
      </c>
      <c r="E24" s="21" t="s">
        <v>43</v>
      </c>
    </row>
    <row r="26" spans="1:6" ht="21.75" customHeight="1" x14ac:dyDescent="0.35">
      <c r="B26" s="12" t="s">
        <v>53</v>
      </c>
      <c r="C26" s="12"/>
      <c r="D26" s="12"/>
      <c r="E26" s="12"/>
    </row>
    <row r="27" spans="1:6" x14ac:dyDescent="0.35">
      <c r="B27" s="22"/>
      <c r="C27" s="23" t="s">
        <v>54</v>
      </c>
    </row>
    <row r="28" spans="1:6" x14ac:dyDescent="0.35">
      <c r="B28" s="24"/>
      <c r="C28" s="23" t="s">
        <v>55</v>
      </c>
    </row>
    <row r="29" spans="1:6" x14ac:dyDescent="0.35">
      <c r="B29" s="25"/>
      <c r="C29" s="23" t="s">
        <v>56</v>
      </c>
    </row>
    <row r="30" spans="1:6" x14ac:dyDescent="0.35">
      <c r="B30" s="26"/>
      <c r="C30" s="23" t="s">
        <v>57</v>
      </c>
    </row>
    <row r="32" spans="1:6" ht="25.5" customHeight="1" x14ac:dyDescent="0.35">
      <c r="A32" s="10" t="s">
        <v>58</v>
      </c>
      <c r="B32" s="10"/>
      <c r="C32" s="10"/>
      <c r="D32" s="10"/>
      <c r="E32" s="10"/>
      <c r="F32" s="10"/>
    </row>
    <row r="33" spans="1:6" ht="25.5" customHeight="1" x14ac:dyDescent="0.35">
      <c r="A33" s="9" t="s">
        <v>59</v>
      </c>
      <c r="B33" s="9"/>
      <c r="C33" s="9"/>
      <c r="D33" s="9"/>
      <c r="E33" s="9"/>
      <c r="F33" s="9"/>
    </row>
    <row r="34" spans="1:6" ht="25.5" customHeight="1" x14ac:dyDescent="0.35">
      <c r="A34" s="9" t="s">
        <v>60</v>
      </c>
      <c r="B34" s="9"/>
      <c r="C34" s="9"/>
      <c r="D34" s="9"/>
      <c r="E34" s="9"/>
      <c r="F34" s="9"/>
    </row>
    <row r="35" spans="1:6" ht="25.5" customHeight="1" x14ac:dyDescent="0.35">
      <c r="A35" s="8" t="s">
        <v>61</v>
      </c>
      <c r="B35" s="8"/>
      <c r="C35" s="8"/>
      <c r="D35" s="8"/>
      <c r="E35" s="8"/>
      <c r="F35" s="8"/>
    </row>
  </sheetData>
  <sheetProtection sheet="1" formatCells="0" formatColumns="0" formatRows="0" sort="0" autoFilter="0"/>
  <mergeCells count="10">
    <mergeCell ref="B26:E26"/>
    <mergeCell ref="A32:F32"/>
    <mergeCell ref="A33:F33"/>
    <mergeCell ref="A34:F34"/>
    <mergeCell ref="A35:F35"/>
    <mergeCell ref="A1:F1"/>
    <mergeCell ref="A2:F2"/>
    <mergeCell ref="B4:E4"/>
    <mergeCell ref="B5:E7"/>
    <mergeCell ref="B9:E9"/>
  </mergeCells>
  <printOptions horizontalCentered="1"/>
  <pageMargins left="0.75" right="0.75" top="1" bottom="1" header="0.5" footer="0.5"/>
  <pageSetup fitToHeight="0" orientation="portrait" horizontalDpi="300" verticalDpi="300"/>
  <headerFooter>
    <oddHeader>&amp;C&amp;9 نظام متابعة الحضور والانصراف — السعودية</oddHeader>
    <oddFooter>&amp;L&amp;8 نظام العمل السعودي وتعديلاته النافذة 19/02/2025&amp;R&amp;P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F49"/>
  <sheetViews>
    <sheetView showGridLines="0" rightToLeft="1" zoomScaleNormal="100" workbookViewId="0">
      <pane xSplit="3" ySplit="5" topLeftCell="D6" activePane="bottomRight" state="frozen"/>
      <selection pane="topRight" activeCell="D1" sqref="D1"/>
      <selection pane="bottomLeft" activeCell="A6" sqref="A6"/>
      <selection pane="bottomRight" activeCell="S7" sqref="S7"/>
    </sheetView>
  </sheetViews>
  <sheetFormatPr defaultColWidth="8.6328125" defaultRowHeight="14.5" x14ac:dyDescent="0.35"/>
  <cols>
    <col min="1" max="1" width="5" customWidth="1"/>
    <col min="2" max="2" width="13" customWidth="1"/>
    <col min="3" max="3" width="22" customWidth="1"/>
    <col min="4" max="15" width="7" customWidth="1"/>
    <col min="16" max="17" width="13" customWidth="1"/>
    <col min="18" max="18" width="15" customWidth="1"/>
    <col min="19" max="19" width="13" customWidth="1"/>
    <col min="20" max="20" width="34" customWidth="1"/>
    <col min="21" max="21" width="3" customWidth="1"/>
    <col min="22" max="52" width="3.36328125" customWidth="1"/>
    <col min="53" max="53" width="3" customWidth="1"/>
    <col min="54" max="84" width="3.36328125" customWidth="1"/>
  </cols>
  <sheetData>
    <row r="1" spans="1:84" ht="30" customHeight="1" x14ac:dyDescent="0.35">
      <c r="A1" s="14" t="s">
        <v>393</v>
      </c>
      <c r="B1" s="14"/>
      <c r="C1" s="14"/>
      <c r="D1" s="14"/>
      <c r="E1" s="14"/>
      <c r="F1" s="14"/>
      <c r="G1" s="14"/>
      <c r="H1" s="14"/>
      <c r="I1" s="14"/>
      <c r="J1" s="14"/>
      <c r="K1" s="14"/>
      <c r="L1" s="14"/>
      <c r="M1" s="14"/>
      <c r="N1" s="14"/>
      <c r="O1" s="14"/>
      <c r="P1" s="14"/>
      <c r="Q1" s="14"/>
      <c r="R1" s="14"/>
      <c r="S1" s="14"/>
      <c r="T1" s="14"/>
    </row>
    <row r="2" spans="1:84" ht="18" customHeight="1" x14ac:dyDescent="0.35">
      <c r="A2" s="13" t="s">
        <v>394</v>
      </c>
      <c r="B2" s="13"/>
      <c r="C2" s="13"/>
      <c r="D2" s="13"/>
      <c r="E2" s="13"/>
      <c r="F2" s="13"/>
      <c r="G2" s="13"/>
      <c r="H2" s="13"/>
      <c r="I2" s="13"/>
      <c r="J2" s="13"/>
      <c r="K2" s="13"/>
      <c r="L2" s="13"/>
      <c r="M2" s="13"/>
      <c r="N2" s="13"/>
      <c r="O2" s="13"/>
      <c r="P2" s="13"/>
      <c r="Q2" s="13"/>
      <c r="R2" s="13"/>
      <c r="S2" s="13"/>
      <c r="T2" s="13"/>
    </row>
    <row r="4" spans="1:84" x14ac:dyDescent="0.35">
      <c r="V4" s="82" t="s">
        <v>395</v>
      </c>
      <c r="BB4" s="82" t="s">
        <v>396</v>
      </c>
    </row>
    <row r="5" spans="1:84" ht="26" x14ac:dyDescent="0.35">
      <c r="A5" s="15" t="s">
        <v>200</v>
      </c>
      <c r="B5" s="15" t="s">
        <v>201</v>
      </c>
      <c r="C5" s="15" t="s">
        <v>202</v>
      </c>
      <c r="D5" s="15" t="s">
        <v>397</v>
      </c>
      <c r="E5" s="15" t="s">
        <v>398</v>
      </c>
      <c r="F5" s="15" t="s">
        <v>399</v>
      </c>
      <c r="G5" s="15" t="s">
        <v>400</v>
      </c>
      <c r="H5" s="15" t="s">
        <v>401</v>
      </c>
      <c r="I5" s="15" t="s">
        <v>402</v>
      </c>
      <c r="J5" s="15" t="s">
        <v>403</v>
      </c>
      <c r="K5" s="15" t="s">
        <v>404</v>
      </c>
      <c r="L5" s="15" t="s">
        <v>405</v>
      </c>
      <c r="M5" s="15" t="s">
        <v>406</v>
      </c>
      <c r="N5" s="15" t="s">
        <v>407</v>
      </c>
      <c r="O5" s="15" t="s">
        <v>408</v>
      </c>
      <c r="P5" s="15" t="s">
        <v>409</v>
      </c>
      <c r="Q5" s="15" t="s">
        <v>410</v>
      </c>
      <c r="R5" s="15" t="s">
        <v>411</v>
      </c>
      <c r="S5" s="15" t="s">
        <v>412</v>
      </c>
      <c r="T5" s="15" t="s">
        <v>413</v>
      </c>
      <c r="V5" s="83">
        <v>1</v>
      </c>
      <c r="W5" s="83">
        <v>2</v>
      </c>
      <c r="X5" s="83">
        <v>3</v>
      </c>
      <c r="Y5" s="83">
        <v>4</v>
      </c>
      <c r="Z5" s="83">
        <v>5</v>
      </c>
      <c r="AA5" s="83">
        <v>6</v>
      </c>
      <c r="AB5" s="83">
        <v>7</v>
      </c>
      <c r="AC5" s="83">
        <v>8</v>
      </c>
      <c r="AD5" s="83">
        <v>9</v>
      </c>
      <c r="AE5" s="83">
        <v>10</v>
      </c>
      <c r="AF5" s="83">
        <v>11</v>
      </c>
      <c r="AG5" s="83">
        <v>12</v>
      </c>
      <c r="AH5" s="83">
        <v>13</v>
      </c>
      <c r="AI5" s="83">
        <v>14</v>
      </c>
      <c r="AJ5" s="83">
        <v>15</v>
      </c>
      <c r="AK5" s="83">
        <v>16</v>
      </c>
      <c r="AL5" s="83">
        <v>17</v>
      </c>
      <c r="AM5" s="83">
        <v>18</v>
      </c>
      <c r="AN5" s="83">
        <v>19</v>
      </c>
      <c r="AO5" s="83">
        <v>20</v>
      </c>
      <c r="AP5" s="83">
        <v>21</v>
      </c>
      <c r="AQ5" s="83">
        <v>22</v>
      </c>
      <c r="AR5" s="83">
        <v>23</v>
      </c>
      <c r="AS5" s="83">
        <v>24</v>
      </c>
      <c r="AT5" s="83">
        <v>25</v>
      </c>
      <c r="AU5" s="83">
        <v>26</v>
      </c>
      <c r="AV5" s="83">
        <v>27</v>
      </c>
      <c r="AW5" s="83">
        <v>28</v>
      </c>
      <c r="AX5" s="83">
        <v>29</v>
      </c>
      <c r="AY5" s="83">
        <v>30</v>
      </c>
      <c r="AZ5" s="83">
        <v>31</v>
      </c>
      <c r="BB5" s="83">
        <v>1</v>
      </c>
      <c r="BC5" s="83">
        <v>2</v>
      </c>
      <c r="BD5" s="83">
        <v>3</v>
      </c>
      <c r="BE5" s="83">
        <v>4</v>
      </c>
      <c r="BF5" s="83">
        <v>5</v>
      </c>
      <c r="BG5" s="83">
        <v>6</v>
      </c>
      <c r="BH5" s="83">
        <v>7</v>
      </c>
      <c r="BI5" s="83">
        <v>8</v>
      </c>
      <c r="BJ5" s="83">
        <v>9</v>
      </c>
      <c r="BK5" s="83">
        <v>10</v>
      </c>
      <c r="BL5" s="83">
        <v>11</v>
      </c>
      <c r="BM5" s="83">
        <v>12</v>
      </c>
      <c r="BN5" s="83">
        <v>13</v>
      </c>
      <c r="BO5" s="83">
        <v>14</v>
      </c>
      <c r="BP5" s="83">
        <v>15</v>
      </c>
      <c r="BQ5" s="83">
        <v>16</v>
      </c>
      <c r="BR5" s="83">
        <v>17</v>
      </c>
      <c r="BS5" s="83">
        <v>18</v>
      </c>
      <c r="BT5" s="83">
        <v>19</v>
      </c>
      <c r="BU5" s="83">
        <v>20</v>
      </c>
      <c r="BV5" s="83">
        <v>21</v>
      </c>
      <c r="BW5" s="83">
        <v>22</v>
      </c>
      <c r="BX5" s="83">
        <v>23</v>
      </c>
      <c r="BY5" s="83">
        <v>24</v>
      </c>
      <c r="BZ5" s="83">
        <v>25</v>
      </c>
      <c r="CA5" s="83">
        <v>26</v>
      </c>
      <c r="CB5" s="83">
        <v>27</v>
      </c>
      <c r="CC5" s="83">
        <v>28</v>
      </c>
      <c r="CD5" s="83">
        <v>29</v>
      </c>
      <c r="CE5" s="83">
        <v>30</v>
      </c>
      <c r="CF5" s="83">
        <v>31</v>
      </c>
    </row>
    <row r="6" spans="1:84" ht="16.5" customHeight="1" x14ac:dyDescent="0.35">
      <c r="A6" s="18">
        <v>1</v>
      </c>
      <c r="B6" s="62" t="str">
        <f>IF(الموظفون!$B6="","",الموظفون!$B6)</f>
        <v>EMP-001</v>
      </c>
      <c r="C6" s="61" t="str">
        <f>IF($B6="","",الموظفون!$C6)</f>
        <v>أحمد محمد الشريف</v>
      </c>
      <c r="D6" s="32"/>
      <c r="E6" s="32"/>
      <c r="F6" s="32"/>
      <c r="G6" s="32"/>
      <c r="H6" s="32"/>
      <c r="I6" s="32"/>
      <c r="J6" s="32"/>
      <c r="K6" s="32"/>
      <c r="L6" s="32"/>
      <c r="M6" s="32"/>
      <c r="N6" s="32"/>
      <c r="O6" s="32"/>
      <c r="P6" s="34">
        <f>IF($B6="","",SUM($D6:$O6)+IF(INDEX($D6:$O6,1,الإعدادات!$C$13)="",$Q6,0))</f>
        <v>0</v>
      </c>
      <c r="Q6" s="51">
        <f>IF($B6="","",الحضور!$G8)</f>
        <v>0</v>
      </c>
      <c r="R6" s="34">
        <f t="shared" ref="R6:R45" si="0">IF($B6="","",MAX(BB6:CF6))</f>
        <v>0</v>
      </c>
      <c r="S6" s="32"/>
      <c r="T6" s="61" t="str">
        <f>IF($B6="","",IF(OR($R6&gt;الإعدادات!$C$36,$S6&gt;الإعدادات!$C$36),"تجاوز حد الإنهاء — غياب متصل",IF($P6&gt;الإعدادات!$C$37,"تجاوز حد الإنهاء — غياب متقطع",IF(OR($R6&gt;=الإعدادات!$C$34,$S6&gt;=الإعدادات!$C$34),"إنذار كتابي واجب — غياب متصل",IF($P6&gt;=الإعدادات!$C$35,"إنذار كتابي واجب — غياب متقطع","سليم")))))</f>
        <v>سليم</v>
      </c>
      <c r="V6" s="84">
        <f>IF($B6="",0,IF(OR(الحضور!$L8="W",الحضور!$L8="PH"),0+1,0))</f>
        <v>1</v>
      </c>
      <c r="W6" s="84">
        <f>IF($B6="",0,IF(OR(الحضور!$M8="W",الحضور!$M8="PH"),V6+1,0))</f>
        <v>0</v>
      </c>
      <c r="X6" s="84">
        <f>IF($B6="",0,IF(OR(الحضور!$N8="W",الحضور!$N8="PH"),W6+1,0))</f>
        <v>0</v>
      </c>
      <c r="Y6" s="84">
        <f>IF($B6="",0,IF(OR(الحضور!$O8="W",الحضور!$O8="PH"),X6+1,0))</f>
        <v>0</v>
      </c>
      <c r="Z6" s="84">
        <f>IF($B6="",0,IF(OR(الحضور!$P8="W",الحضور!$P8="PH"),Y6+1,0))</f>
        <v>0</v>
      </c>
      <c r="AA6" s="84">
        <f>IF($B6="",0,IF(OR(الحضور!$Q8="W",الحضور!$Q8="PH"),Z6+1,0))</f>
        <v>0</v>
      </c>
      <c r="AB6" s="84">
        <f>IF($B6="",0,IF(OR(الحضور!$R8="W",الحضور!$R8="PH"),AA6+1,0))</f>
        <v>1</v>
      </c>
      <c r="AC6" s="84">
        <f>IF($B6="",0,IF(OR(الحضور!$S8="W",الحضور!$S8="PH"),AB6+1,0))</f>
        <v>2</v>
      </c>
      <c r="AD6" s="84">
        <f>IF($B6="",0,IF(OR(الحضور!$T8="W",الحضور!$T8="PH"),AC6+1,0))</f>
        <v>0</v>
      </c>
      <c r="AE6" s="84">
        <f>IF($B6="",0,IF(OR(الحضور!$U8="W",الحضور!$U8="PH"),AD6+1,0))</f>
        <v>0</v>
      </c>
      <c r="AF6" s="84">
        <f>IF($B6="",0,IF(OR(الحضور!$V8="W",الحضور!$V8="PH"),AE6+1,0))</f>
        <v>0</v>
      </c>
      <c r="AG6" s="84">
        <f>IF($B6="",0,IF(OR(الحضور!$W8="W",الحضور!$W8="PH"),AF6+1,0))</f>
        <v>0</v>
      </c>
      <c r="AH6" s="84">
        <f>IF($B6="",0,IF(OR(الحضور!$X8="W",الحضور!$X8="PH"),AG6+1,0))</f>
        <v>0</v>
      </c>
      <c r="AI6" s="84">
        <f>IF($B6="",0,IF(OR(الحضور!$Y8="W",الحضور!$Y8="PH"),AH6+1,0))</f>
        <v>1</v>
      </c>
      <c r="AJ6" s="84">
        <f>IF($B6="",0,IF(OR(الحضور!$Z8="W",الحضور!$Z8="PH"),AI6+1,0))</f>
        <v>2</v>
      </c>
      <c r="AK6" s="84">
        <f>IF($B6="",0,IF(OR(الحضور!$AA8="W",الحضور!$AA8="PH"),AJ6+1,0))</f>
        <v>0</v>
      </c>
      <c r="AL6" s="84">
        <f>IF($B6="",0,IF(OR(الحضور!$AB8="W",الحضور!$AB8="PH"),AK6+1,0))</f>
        <v>0</v>
      </c>
      <c r="AM6" s="84">
        <f>IF($B6="",0,IF(OR(الحضور!$AC8="W",الحضور!$AC8="PH"),AL6+1,0))</f>
        <v>0</v>
      </c>
      <c r="AN6" s="84">
        <f>IF($B6="",0,IF(OR(الحضور!$AD8="W",الحضور!$AD8="PH"),AM6+1,0))</f>
        <v>0</v>
      </c>
      <c r="AO6" s="84">
        <f>IF($B6="",0,IF(OR(الحضور!$AE8="W",الحضور!$AE8="PH"),AN6+1,0))</f>
        <v>0</v>
      </c>
      <c r="AP6" s="84">
        <f>IF($B6="",0,IF(OR(الحضور!$AF8="W",الحضور!$AF8="PH"),AO6+1,0))</f>
        <v>1</v>
      </c>
      <c r="AQ6" s="84">
        <f>IF($B6="",0,IF(OR(الحضور!$AG8="W",الحضور!$AG8="PH"),AP6+1,0))</f>
        <v>2</v>
      </c>
      <c r="AR6" s="84">
        <f>IF($B6="",0,IF(OR(الحضور!$AH8="W",الحضور!$AH8="PH"),AQ6+1,0))</f>
        <v>0</v>
      </c>
      <c r="AS6" s="84">
        <f>IF($B6="",0,IF(OR(الحضور!$AI8="W",الحضور!$AI8="PH"),AR6+1,0))</f>
        <v>0</v>
      </c>
      <c r="AT6" s="84">
        <f>IF($B6="",0,IF(OR(الحضور!$AJ8="W",الحضور!$AJ8="PH"),AS6+1,0))</f>
        <v>0</v>
      </c>
      <c r="AU6" s="84">
        <f>IF($B6="",0,IF(OR(الحضور!$AK8="W",الحضور!$AK8="PH"),AT6+1,0))</f>
        <v>0</v>
      </c>
      <c r="AV6" s="84">
        <f>IF($B6="",0,IF(OR(الحضور!$AL8="W",الحضور!$AL8="PH"),AU6+1,0))</f>
        <v>0</v>
      </c>
      <c r="AW6" s="84">
        <f>IF($B6="",0,IF(OR(الحضور!$AM8="W",الحضور!$AM8="PH"),AV6+1,0))</f>
        <v>1</v>
      </c>
      <c r="AX6" s="84">
        <f>IF($B6="",0,IF(OR(الحضور!$AN8="W",الحضور!$AN8="PH"),AW6+1,0))</f>
        <v>2</v>
      </c>
      <c r="AY6" s="84">
        <f>IF($B6="",0,IF(OR(الحضور!$AO8="W",الحضور!$AO8="PH"),AX6+1,0))</f>
        <v>0</v>
      </c>
      <c r="AZ6" s="84">
        <f>IF($B6="",0,IF(OR(الحضور!$AP8="W",الحضور!$AP8="PH"),AY6+1,0))</f>
        <v>0</v>
      </c>
      <c r="BB6" s="84">
        <f>IF($B6="",0,IF(الحضور!$L8="A",0+0+1,IF(OR(الحضور!$L8="W",الحضور!$L8="PH"),0,0)))</f>
        <v>0</v>
      </c>
      <c r="BC6" s="84">
        <f>IF($B6="",0,IF(الحضور!$M8="A",BB6+V6+1,IF(OR(الحضور!$M8="W",الحضور!$M8="PH"),BB6,0)))</f>
        <v>0</v>
      </c>
      <c r="BD6" s="84">
        <f>IF($B6="",0,IF(الحضور!$N8="A",BC6+W6+1,IF(OR(الحضور!$N8="W",الحضور!$N8="PH"),BC6,0)))</f>
        <v>0</v>
      </c>
      <c r="BE6" s="84">
        <f>IF($B6="",0,IF(الحضور!$O8="A",BD6+X6+1,IF(OR(الحضور!$O8="W",الحضور!$O8="PH"),BD6,0)))</f>
        <v>0</v>
      </c>
      <c r="BF6" s="84">
        <f>IF($B6="",0,IF(الحضور!$P8="A",BE6+Y6+1,IF(OR(الحضور!$P8="W",الحضور!$P8="PH"),BE6,0)))</f>
        <v>0</v>
      </c>
      <c r="BG6" s="84">
        <f>IF($B6="",0,IF(الحضور!$Q8="A",BF6+Z6+1,IF(OR(الحضور!$Q8="W",الحضور!$Q8="PH"),BF6,0)))</f>
        <v>0</v>
      </c>
      <c r="BH6" s="84">
        <f>IF($B6="",0,IF(الحضور!$R8="A",BG6+AA6+1,IF(OR(الحضور!$R8="W",الحضور!$R8="PH"),BG6,0)))</f>
        <v>0</v>
      </c>
      <c r="BI6" s="84">
        <f>IF($B6="",0,IF(الحضور!$S8="A",BH6+AB6+1,IF(OR(الحضور!$S8="W",الحضور!$S8="PH"),BH6,0)))</f>
        <v>0</v>
      </c>
      <c r="BJ6" s="84">
        <f>IF($B6="",0,IF(الحضور!$T8="A",BI6+AC6+1,IF(OR(الحضور!$T8="W",الحضور!$T8="PH"),BI6,0)))</f>
        <v>0</v>
      </c>
      <c r="BK6" s="84">
        <f>IF($B6="",0,IF(الحضور!$U8="A",BJ6+AD6+1,IF(OR(الحضور!$U8="W",الحضور!$U8="PH"),BJ6,0)))</f>
        <v>0</v>
      </c>
      <c r="BL6" s="84">
        <f>IF($B6="",0,IF(الحضور!$V8="A",BK6+AE6+1,IF(OR(الحضور!$V8="W",الحضور!$V8="PH"),BK6,0)))</f>
        <v>0</v>
      </c>
      <c r="BM6" s="84">
        <f>IF($B6="",0,IF(الحضور!$W8="A",BL6+AF6+1,IF(OR(الحضور!$W8="W",الحضور!$W8="PH"),BL6,0)))</f>
        <v>0</v>
      </c>
      <c r="BN6" s="84">
        <f>IF($B6="",0,IF(الحضور!$X8="A",BM6+AG6+1,IF(OR(الحضور!$X8="W",الحضور!$X8="PH"),BM6,0)))</f>
        <v>0</v>
      </c>
      <c r="BO6" s="84">
        <f>IF($B6="",0,IF(الحضور!$Y8="A",BN6+AH6+1,IF(OR(الحضور!$Y8="W",الحضور!$Y8="PH"),BN6,0)))</f>
        <v>0</v>
      </c>
      <c r="BP6" s="84">
        <f>IF($B6="",0,IF(الحضور!$Z8="A",BO6+AI6+1,IF(OR(الحضور!$Z8="W",الحضور!$Z8="PH"),BO6,0)))</f>
        <v>0</v>
      </c>
      <c r="BQ6" s="84">
        <f>IF($B6="",0,IF(الحضور!$AA8="A",BP6+AJ6+1,IF(OR(الحضور!$AA8="W",الحضور!$AA8="PH"),BP6,0)))</f>
        <v>0</v>
      </c>
      <c r="BR6" s="84">
        <f>IF($B6="",0,IF(الحضور!$AB8="A",BQ6+AK6+1,IF(OR(الحضور!$AB8="W",الحضور!$AB8="PH"),BQ6,0)))</f>
        <v>0</v>
      </c>
      <c r="BS6" s="84">
        <f>IF($B6="",0,IF(الحضور!$AC8="A",BR6+AL6+1,IF(OR(الحضور!$AC8="W",الحضور!$AC8="PH"),BR6,0)))</f>
        <v>0</v>
      </c>
      <c r="BT6" s="84">
        <f>IF($B6="",0,IF(الحضور!$AD8="A",BS6+AM6+1,IF(OR(الحضور!$AD8="W",الحضور!$AD8="PH"),BS6,0)))</f>
        <v>0</v>
      </c>
      <c r="BU6" s="84">
        <f>IF($B6="",0,IF(الحضور!$AE8="A",BT6+AN6+1,IF(OR(الحضور!$AE8="W",الحضور!$AE8="PH"),BT6,0)))</f>
        <v>0</v>
      </c>
      <c r="BV6" s="84">
        <f>IF($B6="",0,IF(الحضور!$AF8="A",BU6+AO6+1,IF(OR(الحضور!$AF8="W",الحضور!$AF8="PH"),BU6,0)))</f>
        <v>0</v>
      </c>
      <c r="BW6" s="84">
        <f>IF($B6="",0,IF(الحضور!$AG8="A",BV6+AP6+1,IF(OR(الحضور!$AG8="W",الحضور!$AG8="PH"),BV6,0)))</f>
        <v>0</v>
      </c>
      <c r="BX6" s="84">
        <f>IF($B6="",0,IF(الحضور!$AH8="A",BW6+AQ6+1,IF(OR(الحضور!$AH8="W",الحضور!$AH8="PH"),BW6,0)))</f>
        <v>0</v>
      </c>
      <c r="BY6" s="84">
        <f>IF($B6="",0,IF(الحضور!$AI8="A",BX6+AR6+1,IF(OR(الحضور!$AI8="W",الحضور!$AI8="PH"),BX6,0)))</f>
        <v>0</v>
      </c>
      <c r="BZ6" s="84">
        <f>IF($B6="",0,IF(الحضور!$AJ8="A",BY6+AS6+1,IF(OR(الحضور!$AJ8="W",الحضور!$AJ8="PH"),BY6,0)))</f>
        <v>0</v>
      </c>
      <c r="CA6" s="84">
        <f>IF($B6="",0,IF(الحضور!$AK8="A",BZ6+AT6+1,IF(OR(الحضور!$AK8="W",الحضور!$AK8="PH"),BZ6,0)))</f>
        <v>0</v>
      </c>
      <c r="CB6" s="84">
        <f>IF($B6="",0,IF(الحضور!$AL8="A",CA6+AU6+1,IF(OR(الحضور!$AL8="W",الحضور!$AL8="PH"),CA6,0)))</f>
        <v>0</v>
      </c>
      <c r="CC6" s="84">
        <f>IF($B6="",0,IF(الحضور!$AM8="A",CB6+AV6+1,IF(OR(الحضور!$AM8="W",الحضور!$AM8="PH"),CB6,0)))</f>
        <v>0</v>
      </c>
      <c r="CD6" s="84">
        <f>IF($B6="",0,IF(الحضور!$AN8="A",CC6+AW6+1,IF(OR(الحضور!$AN8="W",الحضور!$AN8="PH"),CC6,0)))</f>
        <v>0</v>
      </c>
      <c r="CE6" s="84">
        <f>IF($B6="",0,IF(الحضور!$AO8="A",CD6+AX6+1,IF(OR(الحضور!$AO8="W",الحضور!$AO8="PH"),CD6,0)))</f>
        <v>0</v>
      </c>
      <c r="CF6" s="84">
        <f>IF($B6="",0,IF(الحضور!$AP8="A",CE6+AY6+1,IF(OR(الحضور!$AP8="W",الحضور!$AP8="PH"),CE6,0)))</f>
        <v>0</v>
      </c>
    </row>
    <row r="7" spans="1:84" ht="16.5" customHeight="1" x14ac:dyDescent="0.35">
      <c r="A7" s="18">
        <v>2</v>
      </c>
      <c r="B7" s="62" t="str">
        <f>IF(الموظفون!$B7="","",الموظفون!$B7)</f>
        <v>EMP-002</v>
      </c>
      <c r="C7" s="61" t="str">
        <f>IF($B7="","",الموظفون!$C7)</f>
        <v>عبدالله القحطاني</v>
      </c>
      <c r="D7" s="32"/>
      <c r="E7" s="32"/>
      <c r="F7" s="32"/>
      <c r="G7" s="32"/>
      <c r="H7" s="32"/>
      <c r="I7" s="32"/>
      <c r="J7" s="32"/>
      <c r="K7" s="32"/>
      <c r="L7" s="32"/>
      <c r="M7" s="32"/>
      <c r="N7" s="32"/>
      <c r="O7" s="32"/>
      <c r="P7" s="34">
        <f>IF($B7="","",SUM($D7:$O7)+IF(INDEX($D7:$O7,1,الإعدادات!$C$13)="",$Q7,0))</f>
        <v>3</v>
      </c>
      <c r="Q7" s="51">
        <f>IF($B7="","",الحضور!$G9)</f>
        <v>3</v>
      </c>
      <c r="R7" s="34">
        <f t="shared" si="0"/>
        <v>3</v>
      </c>
      <c r="S7" s="32"/>
      <c r="T7" s="61" t="str">
        <f>IF($B7="","",IF(OR($R7&gt;الإعدادات!$C$36,$S7&gt;الإعدادات!$C$36),"تجاوز حد الإنهاء — غياب متصل",IF($P7&gt;الإعدادات!$C$37,"تجاوز حد الإنهاء — غياب متقطع",IF(OR($R7&gt;=الإعدادات!$C$34,$S7&gt;=الإعدادات!$C$34),"إنذار كتابي واجب — غياب متصل",IF($P7&gt;=الإعدادات!$C$35,"إنذار كتابي واجب — غياب متقطع","سليم")))))</f>
        <v>سليم</v>
      </c>
      <c r="V7" s="84">
        <f>IF($B7="",0,IF(OR(الحضور!$L9="W",الحضور!$L9="PH"),0+1,0))</f>
        <v>1</v>
      </c>
      <c r="W7" s="84">
        <f>IF($B7="",0,IF(OR(الحضور!$M9="W",الحضور!$M9="PH"),V7+1,0))</f>
        <v>0</v>
      </c>
      <c r="X7" s="84">
        <f>IF($B7="",0,IF(OR(الحضور!$N9="W",الحضور!$N9="PH"),W7+1,0))</f>
        <v>0</v>
      </c>
      <c r="Y7" s="84">
        <f>IF($B7="",0,IF(OR(الحضور!$O9="W",الحضور!$O9="PH"),X7+1,0))</f>
        <v>0</v>
      </c>
      <c r="Z7" s="84">
        <f>IF($B7="",0,IF(OR(الحضور!$P9="W",الحضور!$P9="PH"),Y7+1,0))</f>
        <v>0</v>
      </c>
      <c r="AA7" s="84">
        <f>IF($B7="",0,IF(OR(الحضور!$Q9="W",الحضور!$Q9="PH"),Z7+1,0))</f>
        <v>0</v>
      </c>
      <c r="AB7" s="84">
        <f>IF($B7="",0,IF(OR(الحضور!$R9="W",الحضور!$R9="PH"),AA7+1,0))</f>
        <v>1</v>
      </c>
      <c r="AC7" s="84">
        <f>IF($B7="",0,IF(OR(الحضور!$S9="W",الحضور!$S9="PH"),AB7+1,0))</f>
        <v>2</v>
      </c>
      <c r="AD7" s="84">
        <f>IF($B7="",0,IF(OR(الحضور!$T9="W",الحضور!$T9="PH"),AC7+1,0))</f>
        <v>0</v>
      </c>
      <c r="AE7" s="84">
        <f>IF($B7="",0,IF(OR(الحضور!$U9="W",الحضور!$U9="PH"),AD7+1,0))</f>
        <v>0</v>
      </c>
      <c r="AF7" s="84">
        <f>IF($B7="",0,IF(OR(الحضور!$V9="W",الحضور!$V9="PH"),AE7+1,0))</f>
        <v>0</v>
      </c>
      <c r="AG7" s="84">
        <f>IF($B7="",0,IF(OR(الحضور!$W9="W",الحضور!$W9="PH"),AF7+1,0))</f>
        <v>0</v>
      </c>
      <c r="AH7" s="84">
        <f>IF($B7="",0,IF(OR(الحضور!$X9="W",الحضور!$X9="PH"),AG7+1,0))</f>
        <v>0</v>
      </c>
      <c r="AI7" s="84">
        <f>IF($B7="",0,IF(OR(الحضور!$Y9="W",الحضور!$Y9="PH"),AH7+1,0))</f>
        <v>1</v>
      </c>
      <c r="AJ7" s="84">
        <f>IF($B7="",0,IF(OR(الحضور!$Z9="W",الحضور!$Z9="PH"),AI7+1,0))</f>
        <v>2</v>
      </c>
      <c r="AK7" s="84">
        <f>IF($B7="",0,IF(OR(الحضور!$AA9="W",الحضور!$AA9="PH"),AJ7+1,0))</f>
        <v>0</v>
      </c>
      <c r="AL7" s="84">
        <f>IF($B7="",0,IF(OR(الحضور!$AB9="W",الحضور!$AB9="PH"),AK7+1,0))</f>
        <v>0</v>
      </c>
      <c r="AM7" s="84">
        <f>IF($B7="",0,IF(OR(الحضور!$AC9="W",الحضور!$AC9="PH"),AL7+1,0))</f>
        <v>0</v>
      </c>
      <c r="AN7" s="84">
        <f>IF($B7="",0,IF(OR(الحضور!$AD9="W",الحضور!$AD9="PH"),AM7+1,0))</f>
        <v>0</v>
      </c>
      <c r="AO7" s="84">
        <f>IF($B7="",0,IF(OR(الحضور!$AE9="W",الحضور!$AE9="PH"),AN7+1,0))</f>
        <v>0</v>
      </c>
      <c r="AP7" s="84">
        <f>IF($B7="",0,IF(OR(الحضور!$AF9="W",الحضور!$AF9="PH"),AO7+1,0))</f>
        <v>1</v>
      </c>
      <c r="AQ7" s="84">
        <f>IF($B7="",0,IF(OR(الحضور!$AG9="W",الحضور!$AG9="PH"),AP7+1,0))</f>
        <v>2</v>
      </c>
      <c r="AR7" s="84">
        <f>IF($B7="",0,IF(OR(الحضور!$AH9="W",الحضور!$AH9="PH"),AQ7+1,0))</f>
        <v>0</v>
      </c>
      <c r="AS7" s="84">
        <f>IF($B7="",0,IF(OR(الحضور!$AI9="W",الحضور!$AI9="PH"),AR7+1,0))</f>
        <v>0</v>
      </c>
      <c r="AT7" s="84">
        <f>IF($B7="",0,IF(OR(الحضور!$AJ9="W",الحضور!$AJ9="PH"),AS7+1,0))</f>
        <v>0</v>
      </c>
      <c r="AU7" s="84">
        <f>IF($B7="",0,IF(OR(الحضور!$AK9="W",الحضور!$AK9="PH"),AT7+1,0))</f>
        <v>0</v>
      </c>
      <c r="AV7" s="84">
        <f>IF($B7="",0,IF(OR(الحضور!$AL9="W",الحضور!$AL9="PH"),AU7+1,0))</f>
        <v>0</v>
      </c>
      <c r="AW7" s="84">
        <f>IF($B7="",0,IF(OR(الحضور!$AM9="W",الحضور!$AM9="PH"),AV7+1,0))</f>
        <v>1</v>
      </c>
      <c r="AX7" s="84">
        <f>IF($B7="",0,IF(OR(الحضور!$AN9="W",الحضور!$AN9="PH"),AW7+1,0))</f>
        <v>2</v>
      </c>
      <c r="AY7" s="84">
        <f>IF($B7="",0,IF(OR(الحضور!$AO9="W",الحضور!$AO9="PH"),AX7+1,0))</f>
        <v>0</v>
      </c>
      <c r="AZ7" s="84">
        <f>IF($B7="",0,IF(OR(الحضور!$AP9="W",الحضور!$AP9="PH"),AY7+1,0))</f>
        <v>0</v>
      </c>
      <c r="BB7" s="84">
        <f>IF($B7="",0,IF(الحضور!$L9="A",0+0+1,IF(OR(الحضور!$L9="W",الحضور!$L9="PH"),0,0)))</f>
        <v>0</v>
      </c>
      <c r="BC7" s="84">
        <f>IF($B7="",0,IF(الحضور!$M9="A",BB7+V7+1,IF(OR(الحضور!$M9="W",الحضور!$M9="PH"),BB7,0)))</f>
        <v>2</v>
      </c>
      <c r="BD7" s="84">
        <f>IF($B7="",0,IF(الحضور!$N9="A",BC7+W7+1,IF(OR(الحضور!$N9="W",الحضور!$N9="PH"),BC7,0)))</f>
        <v>3</v>
      </c>
      <c r="BE7" s="84">
        <f>IF($B7="",0,IF(الحضور!$O9="A",BD7+X7+1,IF(OR(الحضور!$O9="W",الحضور!$O9="PH"),BD7,0)))</f>
        <v>0</v>
      </c>
      <c r="BF7" s="84">
        <f>IF($B7="",0,IF(الحضور!$P9="A",BE7+Y7+1,IF(OR(الحضور!$P9="W",الحضور!$P9="PH"),BE7,0)))</f>
        <v>0</v>
      </c>
      <c r="BG7" s="84">
        <f>IF($B7="",0,IF(الحضور!$Q9="A",BF7+Z7+1,IF(OR(الحضور!$Q9="W",الحضور!$Q9="PH"),BF7,0)))</f>
        <v>0</v>
      </c>
      <c r="BH7" s="84">
        <f>IF($B7="",0,IF(الحضور!$R9="A",BG7+AA7+1,IF(OR(الحضور!$R9="W",الحضور!$R9="PH"),BG7,0)))</f>
        <v>0</v>
      </c>
      <c r="BI7" s="84">
        <f>IF($B7="",0,IF(الحضور!$S9="A",BH7+AB7+1,IF(OR(الحضور!$S9="W",الحضور!$S9="PH"),BH7,0)))</f>
        <v>0</v>
      </c>
      <c r="BJ7" s="84">
        <f>IF($B7="",0,IF(الحضور!$T9="A",BI7+AC7+1,IF(OR(الحضور!$T9="W",الحضور!$T9="PH"),BI7,0)))</f>
        <v>0</v>
      </c>
      <c r="BK7" s="84">
        <f>IF($B7="",0,IF(الحضور!$U9="A",BJ7+AD7+1,IF(OR(الحضور!$U9="W",الحضور!$U9="PH"),BJ7,0)))</f>
        <v>1</v>
      </c>
      <c r="BL7" s="84">
        <f>IF($B7="",0,IF(الحضور!$V9="A",BK7+AE7+1,IF(OR(الحضور!$V9="W",الحضور!$V9="PH"),BK7,0)))</f>
        <v>0</v>
      </c>
      <c r="BM7" s="84">
        <f>IF($B7="",0,IF(الحضور!$W9="A",BL7+AF7+1,IF(OR(الحضور!$W9="W",الحضور!$W9="PH"),BL7,0)))</f>
        <v>0</v>
      </c>
      <c r="BN7" s="84">
        <f>IF($B7="",0,IF(الحضور!$X9="A",BM7+AG7+1,IF(OR(الحضور!$X9="W",الحضور!$X9="PH"),BM7,0)))</f>
        <v>0</v>
      </c>
      <c r="BO7" s="84">
        <f>IF($B7="",0,IF(الحضور!$Y9="A",BN7+AH7+1,IF(OR(الحضور!$Y9="W",الحضور!$Y9="PH"),BN7,0)))</f>
        <v>0</v>
      </c>
      <c r="BP7" s="84">
        <f>IF($B7="",0,IF(الحضور!$Z9="A",BO7+AI7+1,IF(OR(الحضور!$Z9="W",الحضور!$Z9="PH"),BO7,0)))</f>
        <v>0</v>
      </c>
      <c r="BQ7" s="84">
        <f>IF($B7="",0,IF(الحضور!$AA9="A",BP7+AJ7+1,IF(OR(الحضور!$AA9="W",الحضور!$AA9="PH"),BP7,0)))</f>
        <v>0</v>
      </c>
      <c r="BR7" s="84">
        <f>IF($B7="",0,IF(الحضور!$AB9="A",BQ7+AK7+1,IF(OR(الحضور!$AB9="W",الحضور!$AB9="PH"),BQ7,0)))</f>
        <v>0</v>
      </c>
      <c r="BS7" s="84">
        <f>IF($B7="",0,IF(الحضور!$AC9="A",BR7+AL7+1,IF(OR(الحضور!$AC9="W",الحضور!$AC9="PH"),BR7,0)))</f>
        <v>0</v>
      </c>
      <c r="BT7" s="84">
        <f>IF($B7="",0,IF(الحضور!$AD9="A",BS7+AM7+1,IF(OR(الحضور!$AD9="W",الحضور!$AD9="PH"),BS7,0)))</f>
        <v>0</v>
      </c>
      <c r="BU7" s="84">
        <f>IF($B7="",0,IF(الحضور!$AE9="A",BT7+AN7+1,IF(OR(الحضور!$AE9="W",الحضور!$AE9="PH"),BT7,0)))</f>
        <v>0</v>
      </c>
      <c r="BV7" s="84">
        <f>IF($B7="",0,IF(الحضور!$AF9="A",BU7+AO7+1,IF(OR(الحضور!$AF9="W",الحضور!$AF9="PH"),BU7,0)))</f>
        <v>0</v>
      </c>
      <c r="BW7" s="84">
        <f>IF($B7="",0,IF(الحضور!$AG9="A",BV7+AP7+1,IF(OR(الحضور!$AG9="W",الحضور!$AG9="PH"),BV7,0)))</f>
        <v>0</v>
      </c>
      <c r="BX7" s="84">
        <f>IF($B7="",0,IF(الحضور!$AH9="A",BW7+AQ7+1,IF(OR(الحضور!$AH9="W",الحضور!$AH9="PH"),BW7,0)))</f>
        <v>0</v>
      </c>
      <c r="BY7" s="84">
        <f>IF($B7="",0,IF(الحضور!$AI9="A",BX7+AR7+1,IF(OR(الحضور!$AI9="W",الحضور!$AI9="PH"),BX7,0)))</f>
        <v>0</v>
      </c>
      <c r="BZ7" s="84">
        <f>IF($B7="",0,IF(الحضور!$AJ9="A",BY7+AS7+1,IF(OR(الحضور!$AJ9="W",الحضور!$AJ9="PH"),BY7,0)))</f>
        <v>0</v>
      </c>
      <c r="CA7" s="84">
        <f>IF($B7="",0,IF(الحضور!$AK9="A",BZ7+AT7+1,IF(OR(الحضور!$AK9="W",الحضور!$AK9="PH"),BZ7,0)))</f>
        <v>0</v>
      </c>
      <c r="CB7" s="84">
        <f>IF($B7="",0,IF(الحضور!$AL9="A",CA7+AU7+1,IF(OR(الحضور!$AL9="W",الحضور!$AL9="PH"),CA7,0)))</f>
        <v>0</v>
      </c>
      <c r="CC7" s="84">
        <f>IF($B7="",0,IF(الحضور!$AM9="A",CB7+AV7+1,IF(OR(الحضور!$AM9="W",الحضور!$AM9="PH"),CB7,0)))</f>
        <v>0</v>
      </c>
      <c r="CD7" s="84">
        <f>IF($B7="",0,IF(الحضور!$AN9="A",CC7+AW7+1,IF(OR(الحضور!$AN9="W",الحضور!$AN9="PH"),CC7,0)))</f>
        <v>0</v>
      </c>
      <c r="CE7" s="84">
        <f>IF($B7="",0,IF(الحضور!$AO9="A",CD7+AX7+1,IF(OR(الحضور!$AO9="W",الحضور!$AO9="PH"),CD7,0)))</f>
        <v>0</v>
      </c>
      <c r="CF7" s="84">
        <f>IF($B7="",0,IF(الحضور!$AP9="A",CE7+AY7+1,IF(OR(الحضور!$AP9="W",الحضور!$AP9="PH"),CE7,0)))</f>
        <v>0</v>
      </c>
    </row>
    <row r="8" spans="1:84" ht="16.5" customHeight="1" x14ac:dyDescent="0.35">
      <c r="A8" s="18">
        <v>3</v>
      </c>
      <c r="B8" s="62" t="str">
        <f>IF(الموظفون!$B8="","",الموظفون!$B8)</f>
        <v>EMP-003</v>
      </c>
      <c r="C8" s="61" t="str">
        <f>IF($B8="","",الموظفون!$C8)</f>
        <v>محمود حسن السيد</v>
      </c>
      <c r="D8" s="32"/>
      <c r="E8" s="32"/>
      <c r="F8" s="32"/>
      <c r="G8" s="32"/>
      <c r="H8" s="32"/>
      <c r="I8" s="32"/>
      <c r="J8" s="32"/>
      <c r="K8" s="32"/>
      <c r="L8" s="32"/>
      <c r="M8" s="32"/>
      <c r="N8" s="32"/>
      <c r="O8" s="32"/>
      <c r="P8" s="34">
        <f>IF($B8="","",SUM($D8:$O8)+IF(INDEX($D8:$O8,1,الإعدادات!$C$13)="",$Q8,0))</f>
        <v>0</v>
      </c>
      <c r="Q8" s="51">
        <f>IF($B8="","",الحضور!$G10)</f>
        <v>0</v>
      </c>
      <c r="R8" s="34">
        <f t="shared" si="0"/>
        <v>0</v>
      </c>
      <c r="S8" s="32"/>
      <c r="T8" s="61" t="str">
        <f>IF($B8="","",IF(OR($R8&gt;الإعدادات!$C$36,$S8&gt;الإعدادات!$C$36),"تجاوز حد الإنهاء — غياب متصل",IF($P8&gt;الإعدادات!$C$37,"تجاوز حد الإنهاء — غياب متقطع",IF(OR($R8&gt;=الإعدادات!$C$34,$S8&gt;=الإعدادات!$C$34),"إنذار كتابي واجب — غياب متصل",IF($P8&gt;=الإعدادات!$C$35,"إنذار كتابي واجب — غياب متقطع","سليم")))))</f>
        <v>سليم</v>
      </c>
      <c r="V8" s="84">
        <f>IF($B8="",0,IF(OR(الحضور!$L10="W",الحضور!$L10="PH"),0+1,0))</f>
        <v>1</v>
      </c>
      <c r="W8" s="84">
        <f>IF($B8="",0,IF(OR(الحضور!$M10="W",الحضور!$M10="PH"),V8+1,0))</f>
        <v>0</v>
      </c>
      <c r="X8" s="84">
        <f>IF($B8="",0,IF(OR(الحضور!$N10="W",الحضور!$N10="PH"),W8+1,0))</f>
        <v>0</v>
      </c>
      <c r="Y8" s="84">
        <f>IF($B8="",0,IF(OR(الحضور!$O10="W",الحضور!$O10="PH"),X8+1,0))</f>
        <v>0</v>
      </c>
      <c r="Z8" s="84">
        <f>IF($B8="",0,IF(OR(الحضور!$P10="W",الحضور!$P10="PH"),Y8+1,0))</f>
        <v>0</v>
      </c>
      <c r="AA8" s="84">
        <f>IF($B8="",0,IF(OR(الحضور!$Q10="W",الحضور!$Q10="PH"),Z8+1,0))</f>
        <v>0</v>
      </c>
      <c r="AB8" s="84">
        <f>IF($B8="",0,IF(OR(الحضور!$R10="W",الحضور!$R10="PH"),AA8+1,0))</f>
        <v>1</v>
      </c>
      <c r="AC8" s="84">
        <f>IF($B8="",0,IF(OR(الحضور!$S10="W",الحضور!$S10="PH"),AB8+1,0))</f>
        <v>2</v>
      </c>
      <c r="AD8" s="84">
        <f>IF($B8="",0,IF(OR(الحضور!$T10="W",الحضور!$T10="PH"),AC8+1,0))</f>
        <v>0</v>
      </c>
      <c r="AE8" s="84">
        <f>IF($B8="",0,IF(OR(الحضور!$U10="W",الحضور!$U10="PH"),AD8+1,0))</f>
        <v>0</v>
      </c>
      <c r="AF8" s="84">
        <f>IF($B8="",0,IF(OR(الحضور!$V10="W",الحضور!$V10="PH"),AE8+1,0))</f>
        <v>0</v>
      </c>
      <c r="AG8" s="84">
        <f>IF($B8="",0,IF(OR(الحضور!$W10="W",الحضور!$W10="PH"),AF8+1,0))</f>
        <v>0</v>
      </c>
      <c r="AH8" s="84">
        <f>IF($B8="",0,IF(OR(الحضور!$X10="W",الحضور!$X10="PH"),AG8+1,0))</f>
        <v>0</v>
      </c>
      <c r="AI8" s="84">
        <f>IF($B8="",0,IF(OR(الحضور!$Y10="W",الحضور!$Y10="PH"),AH8+1,0))</f>
        <v>1</v>
      </c>
      <c r="AJ8" s="84">
        <f>IF($B8="",0,IF(OR(الحضور!$Z10="W",الحضور!$Z10="PH"),AI8+1,0))</f>
        <v>2</v>
      </c>
      <c r="AK8" s="84">
        <f>IF($B8="",0,IF(OR(الحضور!$AA10="W",الحضور!$AA10="PH"),AJ8+1,0))</f>
        <v>0</v>
      </c>
      <c r="AL8" s="84">
        <f>IF($B8="",0,IF(OR(الحضور!$AB10="W",الحضور!$AB10="PH"),AK8+1,0))</f>
        <v>0</v>
      </c>
      <c r="AM8" s="84">
        <f>IF($B8="",0,IF(OR(الحضور!$AC10="W",الحضور!$AC10="PH"),AL8+1,0))</f>
        <v>0</v>
      </c>
      <c r="AN8" s="84">
        <f>IF($B8="",0,IF(OR(الحضور!$AD10="W",الحضور!$AD10="PH"),AM8+1,0))</f>
        <v>0</v>
      </c>
      <c r="AO8" s="84">
        <f>IF($B8="",0,IF(OR(الحضور!$AE10="W",الحضور!$AE10="PH"),AN8+1,0))</f>
        <v>0</v>
      </c>
      <c r="AP8" s="84">
        <f>IF($B8="",0,IF(OR(الحضور!$AF10="W",الحضور!$AF10="PH"),AO8+1,0))</f>
        <v>1</v>
      </c>
      <c r="AQ8" s="84">
        <f>IF($B8="",0,IF(OR(الحضور!$AG10="W",الحضور!$AG10="PH"),AP8+1,0))</f>
        <v>2</v>
      </c>
      <c r="AR8" s="84">
        <f>IF($B8="",0,IF(OR(الحضور!$AH10="W",الحضور!$AH10="PH"),AQ8+1,0))</f>
        <v>0</v>
      </c>
      <c r="AS8" s="84">
        <f>IF($B8="",0,IF(OR(الحضور!$AI10="W",الحضور!$AI10="PH"),AR8+1,0))</f>
        <v>0</v>
      </c>
      <c r="AT8" s="84">
        <f>IF($B8="",0,IF(OR(الحضور!$AJ10="W",الحضور!$AJ10="PH"),AS8+1,0))</f>
        <v>0</v>
      </c>
      <c r="AU8" s="84">
        <f>IF($B8="",0,IF(OR(الحضور!$AK10="W",الحضور!$AK10="PH"),AT8+1,0))</f>
        <v>0</v>
      </c>
      <c r="AV8" s="84">
        <f>IF($B8="",0,IF(OR(الحضور!$AL10="W",الحضور!$AL10="PH"),AU8+1,0))</f>
        <v>0</v>
      </c>
      <c r="AW8" s="84">
        <f>IF($B8="",0,IF(OR(الحضور!$AM10="W",الحضور!$AM10="PH"),AV8+1,0))</f>
        <v>1</v>
      </c>
      <c r="AX8" s="84">
        <f>IF($B8="",0,IF(OR(الحضور!$AN10="W",الحضور!$AN10="PH"),AW8+1,0))</f>
        <v>2</v>
      </c>
      <c r="AY8" s="84">
        <f>IF($B8="",0,IF(OR(الحضور!$AO10="W",الحضور!$AO10="PH"),AX8+1,0))</f>
        <v>0</v>
      </c>
      <c r="AZ8" s="84">
        <f>IF($B8="",0,IF(OR(الحضور!$AP10="W",الحضور!$AP10="PH"),AY8+1,0))</f>
        <v>0</v>
      </c>
      <c r="BB8" s="84">
        <f>IF($B8="",0,IF(الحضور!$L10="A",0+0+1,IF(OR(الحضور!$L10="W",الحضور!$L10="PH"),0,0)))</f>
        <v>0</v>
      </c>
      <c r="BC8" s="84">
        <f>IF($B8="",0,IF(الحضور!$M10="A",BB8+V8+1,IF(OR(الحضور!$M10="W",الحضور!$M10="PH"),BB8,0)))</f>
        <v>0</v>
      </c>
      <c r="BD8" s="84">
        <f>IF($B8="",0,IF(الحضور!$N10="A",BC8+W8+1,IF(OR(الحضور!$N10="W",الحضور!$N10="PH"),BC8,0)))</f>
        <v>0</v>
      </c>
      <c r="BE8" s="84">
        <f>IF($B8="",0,IF(الحضور!$O10="A",BD8+X8+1,IF(OR(الحضور!$O10="W",الحضور!$O10="PH"),BD8,0)))</f>
        <v>0</v>
      </c>
      <c r="BF8" s="84">
        <f>IF($B8="",0,IF(الحضور!$P10="A",BE8+Y8+1,IF(OR(الحضور!$P10="W",الحضور!$P10="PH"),BE8,0)))</f>
        <v>0</v>
      </c>
      <c r="BG8" s="84">
        <f>IF($B8="",0,IF(الحضور!$Q10="A",BF8+Z8+1,IF(OR(الحضور!$Q10="W",الحضور!$Q10="PH"),BF8,0)))</f>
        <v>0</v>
      </c>
      <c r="BH8" s="84">
        <f>IF($B8="",0,IF(الحضور!$R10="A",BG8+AA8+1,IF(OR(الحضور!$R10="W",الحضور!$R10="PH"),BG8,0)))</f>
        <v>0</v>
      </c>
      <c r="BI8" s="84">
        <f>IF($B8="",0,IF(الحضور!$S10="A",BH8+AB8+1,IF(OR(الحضور!$S10="W",الحضور!$S10="PH"),BH8,0)))</f>
        <v>0</v>
      </c>
      <c r="BJ8" s="84">
        <f>IF($B8="",0,IF(الحضور!$T10="A",BI8+AC8+1,IF(OR(الحضور!$T10="W",الحضور!$T10="PH"),BI8,0)))</f>
        <v>0</v>
      </c>
      <c r="BK8" s="84">
        <f>IF($B8="",0,IF(الحضور!$U10="A",BJ8+AD8+1,IF(OR(الحضور!$U10="W",الحضور!$U10="PH"),BJ8,0)))</f>
        <v>0</v>
      </c>
      <c r="BL8" s="84">
        <f>IF($B8="",0,IF(الحضور!$V10="A",BK8+AE8+1,IF(OR(الحضور!$V10="W",الحضور!$V10="PH"),BK8,0)))</f>
        <v>0</v>
      </c>
      <c r="BM8" s="84">
        <f>IF($B8="",0,IF(الحضور!$W10="A",BL8+AF8+1,IF(OR(الحضور!$W10="W",الحضور!$W10="PH"),BL8,0)))</f>
        <v>0</v>
      </c>
      <c r="BN8" s="84">
        <f>IF($B8="",0,IF(الحضور!$X10="A",BM8+AG8+1,IF(OR(الحضور!$X10="W",الحضور!$X10="PH"),BM8,0)))</f>
        <v>0</v>
      </c>
      <c r="BO8" s="84">
        <f>IF($B8="",0,IF(الحضور!$Y10="A",BN8+AH8+1,IF(OR(الحضور!$Y10="W",الحضور!$Y10="PH"),BN8,0)))</f>
        <v>0</v>
      </c>
      <c r="BP8" s="84">
        <f>IF($B8="",0,IF(الحضور!$Z10="A",BO8+AI8+1,IF(OR(الحضور!$Z10="W",الحضور!$Z10="PH"),BO8,0)))</f>
        <v>0</v>
      </c>
      <c r="BQ8" s="84">
        <f>IF($B8="",0,IF(الحضور!$AA10="A",BP8+AJ8+1,IF(OR(الحضور!$AA10="W",الحضور!$AA10="PH"),BP8,0)))</f>
        <v>0</v>
      </c>
      <c r="BR8" s="84">
        <f>IF($B8="",0,IF(الحضور!$AB10="A",BQ8+AK8+1,IF(OR(الحضور!$AB10="W",الحضور!$AB10="PH"),BQ8,0)))</f>
        <v>0</v>
      </c>
      <c r="BS8" s="84">
        <f>IF($B8="",0,IF(الحضور!$AC10="A",BR8+AL8+1,IF(OR(الحضور!$AC10="W",الحضور!$AC10="PH"),BR8,0)))</f>
        <v>0</v>
      </c>
      <c r="BT8" s="84">
        <f>IF($B8="",0,IF(الحضور!$AD10="A",BS8+AM8+1,IF(OR(الحضور!$AD10="W",الحضور!$AD10="PH"),BS8,0)))</f>
        <v>0</v>
      </c>
      <c r="BU8" s="84">
        <f>IF($B8="",0,IF(الحضور!$AE10="A",BT8+AN8+1,IF(OR(الحضور!$AE10="W",الحضور!$AE10="PH"),BT8,0)))</f>
        <v>0</v>
      </c>
      <c r="BV8" s="84">
        <f>IF($B8="",0,IF(الحضور!$AF10="A",BU8+AO8+1,IF(OR(الحضور!$AF10="W",الحضور!$AF10="PH"),BU8,0)))</f>
        <v>0</v>
      </c>
      <c r="BW8" s="84">
        <f>IF($B8="",0,IF(الحضور!$AG10="A",BV8+AP8+1,IF(OR(الحضور!$AG10="W",الحضور!$AG10="PH"),BV8,0)))</f>
        <v>0</v>
      </c>
      <c r="BX8" s="84">
        <f>IF($B8="",0,IF(الحضور!$AH10="A",BW8+AQ8+1,IF(OR(الحضور!$AH10="W",الحضور!$AH10="PH"),BW8,0)))</f>
        <v>0</v>
      </c>
      <c r="BY8" s="84">
        <f>IF($B8="",0,IF(الحضور!$AI10="A",BX8+AR8+1,IF(OR(الحضور!$AI10="W",الحضور!$AI10="PH"),BX8,0)))</f>
        <v>0</v>
      </c>
      <c r="BZ8" s="84">
        <f>IF($B8="",0,IF(الحضور!$AJ10="A",BY8+AS8+1,IF(OR(الحضور!$AJ10="W",الحضور!$AJ10="PH"),BY8,0)))</f>
        <v>0</v>
      </c>
      <c r="CA8" s="84">
        <f>IF($B8="",0,IF(الحضور!$AK10="A",BZ8+AT8+1,IF(OR(الحضور!$AK10="W",الحضور!$AK10="PH"),BZ8,0)))</f>
        <v>0</v>
      </c>
      <c r="CB8" s="84">
        <f>IF($B8="",0,IF(الحضور!$AL10="A",CA8+AU8+1,IF(OR(الحضور!$AL10="W",الحضور!$AL10="PH"),CA8,0)))</f>
        <v>0</v>
      </c>
      <c r="CC8" s="84">
        <f>IF($B8="",0,IF(الحضور!$AM10="A",CB8+AV8+1,IF(OR(الحضور!$AM10="W",الحضور!$AM10="PH"),CB8,0)))</f>
        <v>0</v>
      </c>
      <c r="CD8" s="84">
        <f>IF($B8="",0,IF(الحضور!$AN10="A",CC8+AW8+1,IF(OR(الحضور!$AN10="W",الحضور!$AN10="PH"),CC8,0)))</f>
        <v>0</v>
      </c>
      <c r="CE8" s="84">
        <f>IF($B8="",0,IF(الحضور!$AO10="A",CD8+AX8+1,IF(OR(الحضور!$AO10="W",الحضور!$AO10="PH"),CD8,0)))</f>
        <v>0</v>
      </c>
      <c r="CF8" s="84">
        <f>IF($B8="",0,IF(الحضور!$AP10="A",CE8+AY8+1,IF(OR(الحضور!$AP10="W",الحضور!$AP10="PH"),CE8,0)))</f>
        <v>0</v>
      </c>
    </row>
    <row r="9" spans="1:84" ht="16.5" customHeight="1" x14ac:dyDescent="0.35">
      <c r="A9" s="18">
        <v>4</v>
      </c>
      <c r="B9" s="62" t="str">
        <f>IF(الموظفون!$B9="","",الموظفون!$B9)</f>
        <v>EMP-004</v>
      </c>
      <c r="C9" s="61" t="str">
        <f>IF($B9="","",الموظفون!$C9)</f>
        <v>فيصل العتيبي</v>
      </c>
      <c r="D9" s="32"/>
      <c r="E9" s="32"/>
      <c r="F9" s="32"/>
      <c r="G9" s="32"/>
      <c r="H9" s="32"/>
      <c r="I9" s="32"/>
      <c r="J9" s="32"/>
      <c r="K9" s="32"/>
      <c r="L9" s="32"/>
      <c r="M9" s="32"/>
      <c r="N9" s="32"/>
      <c r="O9" s="32"/>
      <c r="P9" s="34">
        <f>IF($B9="","",SUM($D9:$O9)+IF(INDEX($D9:$O9,1,الإعدادات!$C$13)="",$Q9,0))</f>
        <v>0</v>
      </c>
      <c r="Q9" s="51">
        <f>IF($B9="","",الحضور!$G11)</f>
        <v>0</v>
      </c>
      <c r="R9" s="34">
        <f t="shared" si="0"/>
        <v>0</v>
      </c>
      <c r="S9" s="32"/>
      <c r="T9" s="61" t="str">
        <f>IF($B9="","",IF(OR($R9&gt;الإعدادات!$C$36,$S9&gt;الإعدادات!$C$36),"تجاوز حد الإنهاء — غياب متصل",IF($P9&gt;الإعدادات!$C$37,"تجاوز حد الإنهاء — غياب متقطع",IF(OR($R9&gt;=الإعدادات!$C$34,$S9&gt;=الإعدادات!$C$34),"إنذار كتابي واجب — غياب متصل",IF($P9&gt;=الإعدادات!$C$35,"إنذار كتابي واجب — غياب متقطع","سليم")))))</f>
        <v>سليم</v>
      </c>
      <c r="V9" s="84">
        <f>IF($B9="",0,IF(OR(الحضور!$L11="W",الحضور!$L11="PH"),0+1,0))</f>
        <v>1</v>
      </c>
      <c r="W9" s="84">
        <f>IF($B9="",0,IF(OR(الحضور!$M11="W",الحضور!$M11="PH"),V9+1,0))</f>
        <v>0</v>
      </c>
      <c r="X9" s="84">
        <f>IF($B9="",0,IF(OR(الحضور!$N11="W",الحضور!$N11="PH"),W9+1,0))</f>
        <v>0</v>
      </c>
      <c r="Y9" s="84">
        <f>IF($B9="",0,IF(OR(الحضور!$O11="W",الحضور!$O11="PH"),X9+1,0))</f>
        <v>0</v>
      </c>
      <c r="Z9" s="84">
        <f>IF($B9="",0,IF(OR(الحضور!$P11="W",الحضور!$P11="PH"),Y9+1,0))</f>
        <v>0</v>
      </c>
      <c r="AA9" s="84">
        <f>IF($B9="",0,IF(OR(الحضور!$Q11="W",الحضور!$Q11="PH"),Z9+1,0))</f>
        <v>0</v>
      </c>
      <c r="AB9" s="84">
        <f>IF($B9="",0,IF(OR(الحضور!$R11="W",الحضور!$R11="PH"),AA9+1,0))</f>
        <v>1</v>
      </c>
      <c r="AC9" s="84">
        <f>IF($B9="",0,IF(OR(الحضور!$S11="W",الحضور!$S11="PH"),AB9+1,0))</f>
        <v>2</v>
      </c>
      <c r="AD9" s="84">
        <f>IF($B9="",0,IF(OR(الحضور!$T11="W",الحضور!$T11="PH"),AC9+1,0))</f>
        <v>0</v>
      </c>
      <c r="AE9" s="84">
        <f>IF($B9="",0,IF(OR(الحضور!$U11="W",الحضور!$U11="PH"),AD9+1,0))</f>
        <v>0</v>
      </c>
      <c r="AF9" s="84">
        <f>IF($B9="",0,IF(OR(الحضور!$V11="W",الحضور!$V11="PH"),AE9+1,0))</f>
        <v>0</v>
      </c>
      <c r="AG9" s="84">
        <f>IF($B9="",0,IF(OR(الحضور!$W11="W",الحضور!$W11="PH"),AF9+1,0))</f>
        <v>0</v>
      </c>
      <c r="AH9" s="84">
        <f>IF($B9="",0,IF(OR(الحضور!$X11="W",الحضور!$X11="PH"),AG9+1,0))</f>
        <v>0</v>
      </c>
      <c r="AI9" s="84">
        <f>IF($B9="",0,IF(OR(الحضور!$Y11="W",الحضور!$Y11="PH"),AH9+1,0))</f>
        <v>1</v>
      </c>
      <c r="AJ9" s="84">
        <f>IF($B9="",0,IF(OR(الحضور!$Z11="W",الحضور!$Z11="PH"),AI9+1,0))</f>
        <v>2</v>
      </c>
      <c r="AK9" s="84">
        <f>IF($B9="",0,IF(OR(الحضور!$AA11="W",الحضور!$AA11="PH"),AJ9+1,0))</f>
        <v>0</v>
      </c>
      <c r="AL9" s="84">
        <f>IF($B9="",0,IF(OR(الحضور!$AB11="W",الحضور!$AB11="PH"),AK9+1,0))</f>
        <v>0</v>
      </c>
      <c r="AM9" s="84">
        <f>IF($B9="",0,IF(OR(الحضور!$AC11="W",الحضور!$AC11="PH"),AL9+1,0))</f>
        <v>0</v>
      </c>
      <c r="AN9" s="84">
        <f>IF($B9="",0,IF(OR(الحضور!$AD11="W",الحضور!$AD11="PH"),AM9+1,0))</f>
        <v>0</v>
      </c>
      <c r="AO9" s="84">
        <f>IF($B9="",0,IF(OR(الحضور!$AE11="W",الحضور!$AE11="PH"),AN9+1,0))</f>
        <v>0</v>
      </c>
      <c r="AP9" s="84">
        <f>IF($B9="",0,IF(OR(الحضور!$AF11="W",الحضور!$AF11="PH"),AO9+1,0))</f>
        <v>1</v>
      </c>
      <c r="AQ9" s="84">
        <f>IF($B9="",0,IF(OR(الحضور!$AG11="W",الحضور!$AG11="PH"),AP9+1,0))</f>
        <v>2</v>
      </c>
      <c r="AR9" s="84">
        <f>IF($B9="",0,IF(OR(الحضور!$AH11="W",الحضور!$AH11="PH"),AQ9+1,0))</f>
        <v>0</v>
      </c>
      <c r="AS9" s="84">
        <f>IF($B9="",0,IF(OR(الحضور!$AI11="W",الحضور!$AI11="PH"),AR9+1,0))</f>
        <v>0</v>
      </c>
      <c r="AT9" s="84">
        <f>IF($B9="",0,IF(OR(الحضور!$AJ11="W",الحضور!$AJ11="PH"),AS9+1,0))</f>
        <v>0</v>
      </c>
      <c r="AU9" s="84">
        <f>IF($B9="",0,IF(OR(الحضور!$AK11="W",الحضور!$AK11="PH"),AT9+1,0))</f>
        <v>0</v>
      </c>
      <c r="AV9" s="84">
        <f>IF($B9="",0,IF(OR(الحضور!$AL11="W",الحضور!$AL11="PH"),AU9+1,0))</f>
        <v>0</v>
      </c>
      <c r="AW9" s="84">
        <f>IF($B9="",0,IF(OR(الحضور!$AM11="W",الحضور!$AM11="PH"),AV9+1,0))</f>
        <v>1</v>
      </c>
      <c r="AX9" s="84">
        <f>IF($B9="",0,IF(OR(الحضور!$AN11="W",الحضور!$AN11="PH"),AW9+1,0))</f>
        <v>2</v>
      </c>
      <c r="AY9" s="84">
        <f>IF($B9="",0,IF(OR(الحضور!$AO11="W",الحضور!$AO11="PH"),AX9+1,0))</f>
        <v>0</v>
      </c>
      <c r="AZ9" s="84">
        <f>IF($B9="",0,IF(OR(الحضور!$AP11="W",الحضور!$AP11="PH"),AY9+1,0))</f>
        <v>0</v>
      </c>
      <c r="BB9" s="84">
        <f>IF($B9="",0,IF(الحضور!$L11="A",0+0+1,IF(OR(الحضور!$L11="W",الحضور!$L11="PH"),0,0)))</f>
        <v>0</v>
      </c>
      <c r="BC9" s="84">
        <f>IF($B9="",0,IF(الحضور!$M11="A",BB9+V9+1,IF(OR(الحضور!$M11="W",الحضور!$M11="PH"),BB9,0)))</f>
        <v>0</v>
      </c>
      <c r="BD9" s="84">
        <f>IF($B9="",0,IF(الحضور!$N11="A",BC9+W9+1,IF(OR(الحضور!$N11="W",الحضور!$N11="PH"),BC9,0)))</f>
        <v>0</v>
      </c>
      <c r="BE9" s="84">
        <f>IF($B9="",0,IF(الحضور!$O11="A",BD9+X9+1,IF(OR(الحضور!$O11="W",الحضور!$O11="PH"),BD9,0)))</f>
        <v>0</v>
      </c>
      <c r="BF9" s="84">
        <f>IF($B9="",0,IF(الحضور!$P11="A",BE9+Y9+1,IF(OR(الحضور!$P11="W",الحضور!$P11="PH"),BE9,0)))</f>
        <v>0</v>
      </c>
      <c r="BG9" s="84">
        <f>IF($B9="",0,IF(الحضور!$Q11="A",BF9+Z9+1,IF(OR(الحضور!$Q11="W",الحضور!$Q11="PH"),BF9,0)))</f>
        <v>0</v>
      </c>
      <c r="BH9" s="84">
        <f>IF($B9="",0,IF(الحضور!$R11="A",BG9+AA9+1,IF(OR(الحضور!$R11="W",الحضور!$R11="PH"),BG9,0)))</f>
        <v>0</v>
      </c>
      <c r="BI9" s="84">
        <f>IF($B9="",0,IF(الحضور!$S11="A",BH9+AB9+1,IF(OR(الحضور!$S11="W",الحضور!$S11="PH"),BH9,0)))</f>
        <v>0</v>
      </c>
      <c r="BJ9" s="84">
        <f>IF($B9="",0,IF(الحضور!$T11="A",BI9+AC9+1,IF(OR(الحضور!$T11="W",الحضور!$T11="PH"),BI9,0)))</f>
        <v>0</v>
      </c>
      <c r="BK9" s="84">
        <f>IF($B9="",0,IF(الحضور!$U11="A",BJ9+AD9+1,IF(OR(الحضور!$U11="W",الحضور!$U11="PH"),BJ9,0)))</f>
        <v>0</v>
      </c>
      <c r="BL9" s="84">
        <f>IF($B9="",0,IF(الحضور!$V11="A",BK9+AE9+1,IF(OR(الحضور!$V11="W",الحضور!$V11="PH"),BK9,0)))</f>
        <v>0</v>
      </c>
      <c r="BM9" s="84">
        <f>IF($B9="",0,IF(الحضور!$W11="A",BL9+AF9+1,IF(OR(الحضور!$W11="W",الحضور!$W11="PH"),BL9,0)))</f>
        <v>0</v>
      </c>
      <c r="BN9" s="84">
        <f>IF($B9="",0,IF(الحضور!$X11="A",BM9+AG9+1,IF(OR(الحضور!$X11="W",الحضور!$X11="PH"),BM9,0)))</f>
        <v>0</v>
      </c>
      <c r="BO9" s="84">
        <f>IF($B9="",0,IF(الحضور!$Y11="A",BN9+AH9+1,IF(OR(الحضور!$Y11="W",الحضور!$Y11="PH"),BN9,0)))</f>
        <v>0</v>
      </c>
      <c r="BP9" s="84">
        <f>IF($B9="",0,IF(الحضور!$Z11="A",BO9+AI9+1,IF(OR(الحضور!$Z11="W",الحضور!$Z11="PH"),BO9,0)))</f>
        <v>0</v>
      </c>
      <c r="BQ9" s="84">
        <f>IF($B9="",0,IF(الحضور!$AA11="A",BP9+AJ9+1,IF(OR(الحضور!$AA11="W",الحضور!$AA11="PH"),BP9,0)))</f>
        <v>0</v>
      </c>
      <c r="BR9" s="84">
        <f>IF($B9="",0,IF(الحضور!$AB11="A",BQ9+AK9+1,IF(OR(الحضور!$AB11="W",الحضور!$AB11="PH"),BQ9,0)))</f>
        <v>0</v>
      </c>
      <c r="BS9" s="84">
        <f>IF($B9="",0,IF(الحضور!$AC11="A",BR9+AL9+1,IF(OR(الحضور!$AC11="W",الحضور!$AC11="PH"),BR9,0)))</f>
        <v>0</v>
      </c>
      <c r="BT9" s="84">
        <f>IF($B9="",0,IF(الحضور!$AD11="A",BS9+AM9+1,IF(OR(الحضور!$AD11="W",الحضور!$AD11="PH"),BS9,0)))</f>
        <v>0</v>
      </c>
      <c r="BU9" s="84">
        <f>IF($B9="",0,IF(الحضور!$AE11="A",BT9+AN9+1,IF(OR(الحضور!$AE11="W",الحضور!$AE11="PH"),BT9,0)))</f>
        <v>0</v>
      </c>
      <c r="BV9" s="84">
        <f>IF($B9="",0,IF(الحضور!$AF11="A",BU9+AO9+1,IF(OR(الحضور!$AF11="W",الحضور!$AF11="PH"),BU9,0)))</f>
        <v>0</v>
      </c>
      <c r="BW9" s="84">
        <f>IF($B9="",0,IF(الحضور!$AG11="A",BV9+AP9+1,IF(OR(الحضور!$AG11="W",الحضور!$AG11="PH"),BV9,0)))</f>
        <v>0</v>
      </c>
      <c r="BX9" s="84">
        <f>IF($B9="",0,IF(الحضور!$AH11="A",BW9+AQ9+1,IF(OR(الحضور!$AH11="W",الحضور!$AH11="PH"),BW9,0)))</f>
        <v>0</v>
      </c>
      <c r="BY9" s="84">
        <f>IF($B9="",0,IF(الحضور!$AI11="A",BX9+AR9+1,IF(OR(الحضور!$AI11="W",الحضور!$AI11="PH"),BX9,0)))</f>
        <v>0</v>
      </c>
      <c r="BZ9" s="84">
        <f>IF($B9="",0,IF(الحضور!$AJ11="A",BY9+AS9+1,IF(OR(الحضور!$AJ11="W",الحضور!$AJ11="PH"),BY9,0)))</f>
        <v>0</v>
      </c>
      <c r="CA9" s="84">
        <f>IF($B9="",0,IF(الحضور!$AK11="A",BZ9+AT9+1,IF(OR(الحضور!$AK11="W",الحضور!$AK11="PH"),BZ9,0)))</f>
        <v>0</v>
      </c>
      <c r="CB9" s="84">
        <f>IF($B9="",0,IF(الحضور!$AL11="A",CA9+AU9+1,IF(OR(الحضور!$AL11="W",الحضور!$AL11="PH"),CA9,0)))</f>
        <v>0</v>
      </c>
      <c r="CC9" s="84">
        <f>IF($B9="",0,IF(الحضور!$AM11="A",CB9+AV9+1,IF(OR(الحضور!$AM11="W",الحضور!$AM11="PH"),CB9,0)))</f>
        <v>0</v>
      </c>
      <c r="CD9" s="84">
        <f>IF($B9="",0,IF(الحضور!$AN11="A",CC9+AW9+1,IF(OR(الحضور!$AN11="W",الحضور!$AN11="PH"),CC9,0)))</f>
        <v>0</v>
      </c>
      <c r="CE9" s="84">
        <f>IF($B9="",0,IF(الحضور!$AO11="A",CD9+AX9+1,IF(OR(الحضور!$AO11="W",الحضور!$AO11="PH"),CD9,0)))</f>
        <v>0</v>
      </c>
      <c r="CF9" s="84">
        <f>IF($B9="",0,IF(الحضور!$AP11="A",CE9+AY9+1,IF(OR(الحضور!$AP11="W",الحضور!$AP11="PH"),CE9,0)))</f>
        <v>0</v>
      </c>
    </row>
    <row r="10" spans="1:84" ht="16.5" customHeight="1" x14ac:dyDescent="0.35">
      <c r="A10" s="18">
        <v>5</v>
      </c>
      <c r="B10" s="62" t="str">
        <f>IF(الموظفون!$B10="","",الموظفون!$B10)</f>
        <v>EMP-005</v>
      </c>
      <c r="C10" s="61" t="str">
        <f>IF($B10="","",الموظفون!$C10)</f>
        <v>يوسف إبراهيم فؤاد</v>
      </c>
      <c r="D10" s="32"/>
      <c r="E10" s="32"/>
      <c r="F10" s="32"/>
      <c r="G10" s="32"/>
      <c r="H10" s="32"/>
      <c r="I10" s="32"/>
      <c r="J10" s="32"/>
      <c r="K10" s="32"/>
      <c r="L10" s="32"/>
      <c r="M10" s="32"/>
      <c r="N10" s="32"/>
      <c r="O10" s="32"/>
      <c r="P10" s="34">
        <f>IF($B10="","",SUM($D10:$O10)+IF(INDEX($D10:$O10,1,الإعدادات!$C$13)="",$Q10,0))</f>
        <v>0</v>
      </c>
      <c r="Q10" s="51">
        <f>IF($B10="","",الحضور!$G12)</f>
        <v>0</v>
      </c>
      <c r="R10" s="34">
        <f t="shared" si="0"/>
        <v>0</v>
      </c>
      <c r="S10" s="32"/>
      <c r="T10" s="61" t="str">
        <f>IF($B10="","",IF(OR($R10&gt;الإعدادات!$C$36,$S10&gt;الإعدادات!$C$36),"تجاوز حد الإنهاء — غياب متصل",IF($P10&gt;الإعدادات!$C$37,"تجاوز حد الإنهاء — غياب متقطع",IF(OR($R10&gt;=الإعدادات!$C$34,$S10&gt;=الإعدادات!$C$34),"إنذار كتابي واجب — غياب متصل",IF($P10&gt;=الإعدادات!$C$35,"إنذار كتابي واجب — غياب متقطع","سليم")))))</f>
        <v>سليم</v>
      </c>
      <c r="V10" s="84">
        <f>IF($B10="",0,IF(OR(الحضور!$L12="W",الحضور!$L12="PH"),0+1,0))</f>
        <v>1</v>
      </c>
      <c r="W10" s="84">
        <f>IF($B10="",0,IF(OR(الحضور!$M12="W",الحضور!$M12="PH"),V10+1,0))</f>
        <v>0</v>
      </c>
      <c r="X10" s="84">
        <f>IF($B10="",0,IF(OR(الحضور!$N12="W",الحضور!$N12="PH"),W10+1,0))</f>
        <v>0</v>
      </c>
      <c r="Y10" s="84">
        <f>IF($B10="",0,IF(OR(الحضور!$O12="W",الحضور!$O12="PH"),X10+1,0))</f>
        <v>0</v>
      </c>
      <c r="Z10" s="84">
        <f>IF($B10="",0,IF(OR(الحضور!$P12="W",الحضور!$P12="PH"),Y10+1,0))</f>
        <v>0</v>
      </c>
      <c r="AA10" s="84">
        <f>IF($B10="",0,IF(OR(الحضور!$Q12="W",الحضور!$Q12="PH"),Z10+1,0))</f>
        <v>0</v>
      </c>
      <c r="AB10" s="84">
        <f>IF($B10="",0,IF(OR(الحضور!$R12="W",الحضور!$R12="PH"),AA10+1,0))</f>
        <v>1</v>
      </c>
      <c r="AC10" s="84">
        <f>IF($B10="",0,IF(OR(الحضور!$S12="W",الحضور!$S12="PH"),AB10+1,0))</f>
        <v>2</v>
      </c>
      <c r="AD10" s="84">
        <f>IF($B10="",0,IF(OR(الحضور!$T12="W",الحضور!$T12="PH"),AC10+1,0))</f>
        <v>0</v>
      </c>
      <c r="AE10" s="84">
        <f>IF($B10="",0,IF(OR(الحضور!$U12="W",الحضور!$U12="PH"),AD10+1,0))</f>
        <v>0</v>
      </c>
      <c r="AF10" s="84">
        <f>IF($B10="",0,IF(OR(الحضور!$V12="W",الحضور!$V12="PH"),AE10+1,0))</f>
        <v>0</v>
      </c>
      <c r="AG10" s="84">
        <f>IF($B10="",0,IF(OR(الحضور!$W12="W",الحضور!$W12="PH"),AF10+1,0))</f>
        <v>0</v>
      </c>
      <c r="AH10" s="84">
        <f>IF($B10="",0,IF(OR(الحضور!$X12="W",الحضور!$X12="PH"),AG10+1,0))</f>
        <v>0</v>
      </c>
      <c r="AI10" s="84">
        <f>IF($B10="",0,IF(OR(الحضور!$Y12="W",الحضور!$Y12="PH"),AH10+1,0))</f>
        <v>1</v>
      </c>
      <c r="AJ10" s="84">
        <f>IF($B10="",0,IF(OR(الحضور!$Z12="W",الحضور!$Z12="PH"),AI10+1,0))</f>
        <v>2</v>
      </c>
      <c r="AK10" s="84">
        <f>IF($B10="",0,IF(OR(الحضور!$AA12="W",الحضور!$AA12="PH"),AJ10+1,0))</f>
        <v>0</v>
      </c>
      <c r="AL10" s="84">
        <f>IF($B10="",0,IF(OR(الحضور!$AB12="W",الحضور!$AB12="PH"),AK10+1,0))</f>
        <v>0</v>
      </c>
      <c r="AM10" s="84">
        <f>IF($B10="",0,IF(OR(الحضور!$AC12="W",الحضور!$AC12="PH"),AL10+1,0))</f>
        <v>0</v>
      </c>
      <c r="AN10" s="84">
        <f>IF($B10="",0,IF(OR(الحضور!$AD12="W",الحضور!$AD12="PH"),AM10+1,0))</f>
        <v>0</v>
      </c>
      <c r="AO10" s="84">
        <f>IF($B10="",0,IF(OR(الحضور!$AE12="W",الحضور!$AE12="PH"),AN10+1,0))</f>
        <v>0</v>
      </c>
      <c r="AP10" s="84">
        <f>IF($B10="",0,IF(OR(الحضور!$AF12="W",الحضور!$AF12="PH"),AO10+1,0))</f>
        <v>1</v>
      </c>
      <c r="AQ10" s="84">
        <f>IF($B10="",0,IF(OR(الحضور!$AG12="W",الحضور!$AG12="PH"),AP10+1,0))</f>
        <v>2</v>
      </c>
      <c r="AR10" s="84">
        <f>IF($B10="",0,IF(OR(الحضور!$AH12="W",الحضور!$AH12="PH"),AQ10+1,0))</f>
        <v>0</v>
      </c>
      <c r="AS10" s="84">
        <f>IF($B10="",0,IF(OR(الحضور!$AI12="W",الحضور!$AI12="PH"),AR10+1,0))</f>
        <v>0</v>
      </c>
      <c r="AT10" s="84">
        <f>IF($B10="",0,IF(OR(الحضور!$AJ12="W",الحضور!$AJ12="PH"),AS10+1,0))</f>
        <v>0</v>
      </c>
      <c r="AU10" s="84">
        <f>IF($B10="",0,IF(OR(الحضور!$AK12="W",الحضور!$AK12="PH"),AT10+1,0))</f>
        <v>0</v>
      </c>
      <c r="AV10" s="84">
        <f>IF($B10="",0,IF(OR(الحضور!$AL12="W",الحضور!$AL12="PH"),AU10+1,0))</f>
        <v>0</v>
      </c>
      <c r="AW10" s="84">
        <f>IF($B10="",0,IF(OR(الحضور!$AM12="W",الحضور!$AM12="PH"),AV10+1,0))</f>
        <v>1</v>
      </c>
      <c r="AX10" s="84">
        <f>IF($B10="",0,IF(OR(الحضور!$AN12="W",الحضور!$AN12="PH"),AW10+1,0))</f>
        <v>2</v>
      </c>
      <c r="AY10" s="84">
        <f>IF($B10="",0,IF(OR(الحضور!$AO12="W",الحضور!$AO12="PH"),AX10+1,0))</f>
        <v>0</v>
      </c>
      <c r="AZ10" s="84">
        <f>IF($B10="",0,IF(OR(الحضور!$AP12="W",الحضور!$AP12="PH"),AY10+1,0))</f>
        <v>0</v>
      </c>
      <c r="BB10" s="84">
        <f>IF($B10="",0,IF(الحضور!$L12="A",0+0+1,IF(OR(الحضور!$L12="W",الحضور!$L12="PH"),0,0)))</f>
        <v>0</v>
      </c>
      <c r="BC10" s="84">
        <f>IF($B10="",0,IF(الحضور!$M12="A",BB10+V10+1,IF(OR(الحضور!$M12="W",الحضور!$M12="PH"),BB10,0)))</f>
        <v>0</v>
      </c>
      <c r="BD10" s="84">
        <f>IF($B10="",0,IF(الحضور!$N12="A",BC10+W10+1,IF(OR(الحضور!$N12="W",الحضور!$N12="PH"),BC10,0)))</f>
        <v>0</v>
      </c>
      <c r="BE10" s="84">
        <f>IF($B10="",0,IF(الحضور!$O12="A",BD10+X10+1,IF(OR(الحضور!$O12="W",الحضور!$O12="PH"),BD10,0)))</f>
        <v>0</v>
      </c>
      <c r="BF10" s="84">
        <f>IF($B10="",0,IF(الحضور!$P12="A",BE10+Y10+1,IF(OR(الحضور!$P12="W",الحضور!$P12="PH"),BE10,0)))</f>
        <v>0</v>
      </c>
      <c r="BG10" s="84">
        <f>IF($B10="",0,IF(الحضور!$Q12="A",BF10+Z10+1,IF(OR(الحضور!$Q12="W",الحضور!$Q12="PH"),BF10,0)))</f>
        <v>0</v>
      </c>
      <c r="BH10" s="84">
        <f>IF($B10="",0,IF(الحضور!$R12="A",BG10+AA10+1,IF(OR(الحضور!$R12="W",الحضور!$R12="PH"),BG10,0)))</f>
        <v>0</v>
      </c>
      <c r="BI10" s="84">
        <f>IF($B10="",0,IF(الحضور!$S12="A",BH10+AB10+1,IF(OR(الحضور!$S12="W",الحضور!$S12="PH"),BH10,0)))</f>
        <v>0</v>
      </c>
      <c r="BJ10" s="84">
        <f>IF($B10="",0,IF(الحضور!$T12="A",BI10+AC10+1,IF(OR(الحضور!$T12="W",الحضور!$T12="PH"),BI10,0)))</f>
        <v>0</v>
      </c>
      <c r="BK10" s="84">
        <f>IF($B10="",0,IF(الحضور!$U12="A",BJ10+AD10+1,IF(OR(الحضور!$U12="W",الحضور!$U12="PH"),BJ10,0)))</f>
        <v>0</v>
      </c>
      <c r="BL10" s="84">
        <f>IF($B10="",0,IF(الحضور!$V12="A",BK10+AE10+1,IF(OR(الحضور!$V12="W",الحضور!$V12="PH"),BK10,0)))</f>
        <v>0</v>
      </c>
      <c r="BM10" s="84">
        <f>IF($B10="",0,IF(الحضور!$W12="A",BL10+AF10+1,IF(OR(الحضور!$W12="W",الحضور!$W12="PH"),BL10,0)))</f>
        <v>0</v>
      </c>
      <c r="BN10" s="84">
        <f>IF($B10="",0,IF(الحضور!$X12="A",BM10+AG10+1,IF(OR(الحضور!$X12="W",الحضور!$X12="PH"),BM10,0)))</f>
        <v>0</v>
      </c>
      <c r="BO10" s="84">
        <f>IF($B10="",0,IF(الحضور!$Y12="A",BN10+AH10+1,IF(OR(الحضور!$Y12="W",الحضور!$Y12="PH"),BN10,0)))</f>
        <v>0</v>
      </c>
      <c r="BP10" s="84">
        <f>IF($B10="",0,IF(الحضور!$Z12="A",BO10+AI10+1,IF(OR(الحضور!$Z12="W",الحضور!$Z12="PH"),BO10,0)))</f>
        <v>0</v>
      </c>
      <c r="BQ10" s="84">
        <f>IF($B10="",0,IF(الحضور!$AA12="A",BP10+AJ10+1,IF(OR(الحضور!$AA12="W",الحضور!$AA12="PH"),BP10,0)))</f>
        <v>0</v>
      </c>
      <c r="BR10" s="84">
        <f>IF($B10="",0,IF(الحضور!$AB12="A",BQ10+AK10+1,IF(OR(الحضور!$AB12="W",الحضور!$AB12="PH"),BQ10,0)))</f>
        <v>0</v>
      </c>
      <c r="BS10" s="84">
        <f>IF($B10="",0,IF(الحضور!$AC12="A",BR10+AL10+1,IF(OR(الحضور!$AC12="W",الحضور!$AC12="PH"),BR10,0)))</f>
        <v>0</v>
      </c>
      <c r="BT10" s="84">
        <f>IF($B10="",0,IF(الحضور!$AD12="A",BS10+AM10+1,IF(OR(الحضور!$AD12="W",الحضور!$AD12="PH"),BS10,0)))</f>
        <v>0</v>
      </c>
      <c r="BU10" s="84">
        <f>IF($B10="",0,IF(الحضور!$AE12="A",BT10+AN10+1,IF(OR(الحضور!$AE12="W",الحضور!$AE12="PH"),BT10,0)))</f>
        <v>0</v>
      </c>
      <c r="BV10" s="84">
        <f>IF($B10="",0,IF(الحضور!$AF12="A",BU10+AO10+1,IF(OR(الحضور!$AF12="W",الحضور!$AF12="PH"),BU10,0)))</f>
        <v>0</v>
      </c>
      <c r="BW10" s="84">
        <f>IF($B10="",0,IF(الحضور!$AG12="A",BV10+AP10+1,IF(OR(الحضور!$AG12="W",الحضور!$AG12="PH"),BV10,0)))</f>
        <v>0</v>
      </c>
      <c r="BX10" s="84">
        <f>IF($B10="",0,IF(الحضور!$AH12="A",BW10+AQ10+1,IF(OR(الحضور!$AH12="W",الحضور!$AH12="PH"),BW10,0)))</f>
        <v>0</v>
      </c>
      <c r="BY10" s="84">
        <f>IF($B10="",0,IF(الحضور!$AI12="A",BX10+AR10+1,IF(OR(الحضور!$AI12="W",الحضور!$AI12="PH"),BX10,0)))</f>
        <v>0</v>
      </c>
      <c r="BZ10" s="84">
        <f>IF($B10="",0,IF(الحضور!$AJ12="A",BY10+AS10+1,IF(OR(الحضور!$AJ12="W",الحضور!$AJ12="PH"),BY10,0)))</f>
        <v>0</v>
      </c>
      <c r="CA10" s="84">
        <f>IF($B10="",0,IF(الحضور!$AK12="A",BZ10+AT10+1,IF(OR(الحضور!$AK12="W",الحضور!$AK12="PH"),BZ10,0)))</f>
        <v>0</v>
      </c>
      <c r="CB10" s="84">
        <f>IF($B10="",0,IF(الحضور!$AL12="A",CA10+AU10+1,IF(OR(الحضور!$AL12="W",الحضور!$AL12="PH"),CA10,0)))</f>
        <v>0</v>
      </c>
      <c r="CC10" s="84">
        <f>IF($B10="",0,IF(الحضور!$AM12="A",CB10+AV10+1,IF(OR(الحضور!$AM12="W",الحضور!$AM12="PH"),CB10,0)))</f>
        <v>0</v>
      </c>
      <c r="CD10" s="84">
        <f>IF($B10="",0,IF(الحضور!$AN12="A",CC10+AW10+1,IF(OR(الحضور!$AN12="W",الحضور!$AN12="PH"),CC10,0)))</f>
        <v>0</v>
      </c>
      <c r="CE10" s="84">
        <f>IF($B10="",0,IF(الحضور!$AO12="A",CD10+AX10+1,IF(OR(الحضور!$AO12="W",الحضور!$AO12="PH"),CD10,0)))</f>
        <v>0</v>
      </c>
      <c r="CF10" s="84">
        <f>IF($B10="",0,IF(الحضور!$AP12="A",CE10+AY10+1,IF(OR(الحضور!$AP12="W",الحضور!$AP12="PH"),CE10,0)))</f>
        <v>0</v>
      </c>
    </row>
    <row r="11" spans="1:84" ht="16.5" customHeight="1" x14ac:dyDescent="0.35">
      <c r="A11" s="18">
        <v>6</v>
      </c>
      <c r="B11" s="62" t="str">
        <f>IF(الموظفون!$B11="","",الموظفون!$B11)</f>
        <v>EMP-006</v>
      </c>
      <c r="C11" s="61" t="str">
        <f>IF($B11="","",الموظفون!$C11)</f>
        <v>سلطان الحربي</v>
      </c>
      <c r="D11" s="32"/>
      <c r="E11" s="32"/>
      <c r="F11" s="32"/>
      <c r="G11" s="32"/>
      <c r="H11" s="32"/>
      <c r="I11" s="32"/>
      <c r="J11" s="32"/>
      <c r="K11" s="32"/>
      <c r="L11" s="32"/>
      <c r="M11" s="32"/>
      <c r="N11" s="32"/>
      <c r="O11" s="32"/>
      <c r="P11" s="34">
        <f>IF($B11="","",SUM($D11:$O11)+IF(INDEX($D11:$O11,1,الإعدادات!$C$13)="",$Q11,0))</f>
        <v>0</v>
      </c>
      <c r="Q11" s="51">
        <f>IF($B11="","",الحضور!$G13)</f>
        <v>0</v>
      </c>
      <c r="R11" s="34">
        <f t="shared" si="0"/>
        <v>0</v>
      </c>
      <c r="S11" s="32"/>
      <c r="T11" s="61" t="str">
        <f>IF($B11="","",IF(OR($R11&gt;الإعدادات!$C$36,$S11&gt;الإعدادات!$C$36),"تجاوز حد الإنهاء — غياب متصل",IF($P11&gt;الإعدادات!$C$37,"تجاوز حد الإنهاء — غياب متقطع",IF(OR($R11&gt;=الإعدادات!$C$34,$S11&gt;=الإعدادات!$C$34),"إنذار كتابي واجب — غياب متصل",IF($P11&gt;=الإعدادات!$C$35,"إنذار كتابي واجب — غياب متقطع","سليم")))))</f>
        <v>سليم</v>
      </c>
      <c r="V11" s="84">
        <f>IF($B11="",0,IF(OR(الحضور!$L13="W",الحضور!$L13="PH"),0+1,0))</f>
        <v>1</v>
      </c>
      <c r="W11" s="84">
        <f>IF($B11="",0,IF(OR(الحضور!$M13="W",الحضور!$M13="PH"),V11+1,0))</f>
        <v>0</v>
      </c>
      <c r="X11" s="84">
        <f>IF($B11="",0,IF(OR(الحضور!$N13="W",الحضور!$N13="PH"),W11+1,0))</f>
        <v>0</v>
      </c>
      <c r="Y11" s="84">
        <f>IF($B11="",0,IF(OR(الحضور!$O13="W",الحضور!$O13="PH"),X11+1,0))</f>
        <v>0</v>
      </c>
      <c r="Z11" s="84">
        <f>IF($B11="",0,IF(OR(الحضور!$P13="W",الحضور!$P13="PH"),Y11+1,0))</f>
        <v>0</v>
      </c>
      <c r="AA11" s="84">
        <f>IF($B11="",0,IF(OR(الحضور!$Q13="W",الحضور!$Q13="PH"),Z11+1,0))</f>
        <v>0</v>
      </c>
      <c r="AB11" s="84">
        <f>IF($B11="",0,IF(OR(الحضور!$R13="W",الحضور!$R13="PH"),AA11+1,0))</f>
        <v>1</v>
      </c>
      <c r="AC11" s="84">
        <f>IF($B11="",0,IF(OR(الحضور!$S13="W",الحضور!$S13="PH"),AB11+1,0))</f>
        <v>2</v>
      </c>
      <c r="AD11" s="84">
        <f>IF($B11="",0,IF(OR(الحضور!$T13="W",الحضور!$T13="PH"),AC11+1,0))</f>
        <v>0</v>
      </c>
      <c r="AE11" s="84">
        <f>IF($B11="",0,IF(OR(الحضور!$U13="W",الحضور!$U13="PH"),AD11+1,0))</f>
        <v>0</v>
      </c>
      <c r="AF11" s="84">
        <f>IF($B11="",0,IF(OR(الحضور!$V13="W",الحضور!$V13="PH"),AE11+1,0))</f>
        <v>0</v>
      </c>
      <c r="AG11" s="84">
        <f>IF($B11="",0,IF(OR(الحضور!$W13="W",الحضور!$W13="PH"),AF11+1,0))</f>
        <v>0</v>
      </c>
      <c r="AH11" s="84">
        <f>IF($B11="",0,IF(OR(الحضور!$X13="W",الحضور!$X13="PH"),AG11+1,0))</f>
        <v>0</v>
      </c>
      <c r="AI11" s="84">
        <f>IF($B11="",0,IF(OR(الحضور!$Y13="W",الحضور!$Y13="PH"),AH11+1,0))</f>
        <v>1</v>
      </c>
      <c r="AJ11" s="84">
        <f>IF($B11="",0,IF(OR(الحضور!$Z13="W",الحضور!$Z13="PH"),AI11+1,0))</f>
        <v>2</v>
      </c>
      <c r="AK11" s="84">
        <f>IF($B11="",0,IF(OR(الحضور!$AA13="W",الحضور!$AA13="PH"),AJ11+1,0))</f>
        <v>0</v>
      </c>
      <c r="AL11" s="84">
        <f>IF($B11="",0,IF(OR(الحضور!$AB13="W",الحضور!$AB13="PH"),AK11+1,0))</f>
        <v>0</v>
      </c>
      <c r="AM11" s="84">
        <f>IF($B11="",0,IF(OR(الحضور!$AC13="W",الحضور!$AC13="PH"),AL11+1,0))</f>
        <v>0</v>
      </c>
      <c r="AN11" s="84">
        <f>IF($B11="",0,IF(OR(الحضور!$AD13="W",الحضور!$AD13="PH"),AM11+1,0))</f>
        <v>0</v>
      </c>
      <c r="AO11" s="84">
        <f>IF($B11="",0,IF(OR(الحضور!$AE13="W",الحضور!$AE13="PH"),AN11+1,0))</f>
        <v>0</v>
      </c>
      <c r="AP11" s="84">
        <f>IF($B11="",0,IF(OR(الحضور!$AF13="W",الحضور!$AF13="PH"),AO11+1,0))</f>
        <v>1</v>
      </c>
      <c r="AQ11" s="84">
        <f>IF($B11="",0,IF(OR(الحضور!$AG13="W",الحضور!$AG13="PH"),AP11+1,0))</f>
        <v>2</v>
      </c>
      <c r="AR11" s="84">
        <f>IF($B11="",0,IF(OR(الحضور!$AH13="W",الحضور!$AH13="PH"),AQ11+1,0))</f>
        <v>0</v>
      </c>
      <c r="AS11" s="84">
        <f>IF($B11="",0,IF(OR(الحضور!$AI13="W",الحضور!$AI13="PH"),AR11+1,0))</f>
        <v>0</v>
      </c>
      <c r="AT11" s="84">
        <f>IF($B11="",0,IF(OR(الحضور!$AJ13="W",الحضور!$AJ13="PH"),AS11+1,0))</f>
        <v>0</v>
      </c>
      <c r="AU11" s="84">
        <f>IF($B11="",0,IF(OR(الحضور!$AK13="W",الحضور!$AK13="PH"),AT11+1,0))</f>
        <v>0</v>
      </c>
      <c r="AV11" s="84">
        <f>IF($B11="",0,IF(OR(الحضور!$AL13="W",الحضور!$AL13="PH"),AU11+1,0))</f>
        <v>0</v>
      </c>
      <c r="AW11" s="84">
        <f>IF($B11="",0,IF(OR(الحضور!$AM13="W",الحضور!$AM13="PH"),AV11+1,0))</f>
        <v>1</v>
      </c>
      <c r="AX11" s="84">
        <f>IF($B11="",0,IF(OR(الحضور!$AN13="W",الحضور!$AN13="PH"),AW11+1,0))</f>
        <v>2</v>
      </c>
      <c r="AY11" s="84">
        <f>IF($B11="",0,IF(OR(الحضور!$AO13="W",الحضور!$AO13="PH"),AX11+1,0))</f>
        <v>0</v>
      </c>
      <c r="AZ11" s="84">
        <f>IF($B11="",0,IF(OR(الحضور!$AP13="W",الحضور!$AP13="PH"),AY11+1,0))</f>
        <v>0</v>
      </c>
      <c r="BB11" s="84">
        <f>IF($B11="",0,IF(الحضور!$L13="A",0+0+1,IF(OR(الحضور!$L13="W",الحضور!$L13="PH"),0,0)))</f>
        <v>0</v>
      </c>
      <c r="BC11" s="84">
        <f>IF($B11="",0,IF(الحضور!$M13="A",BB11+V11+1,IF(OR(الحضور!$M13="W",الحضور!$M13="PH"),BB11,0)))</f>
        <v>0</v>
      </c>
      <c r="BD11" s="84">
        <f>IF($B11="",0,IF(الحضور!$N13="A",BC11+W11+1,IF(OR(الحضور!$N13="W",الحضور!$N13="PH"),BC11,0)))</f>
        <v>0</v>
      </c>
      <c r="BE11" s="84">
        <f>IF($B11="",0,IF(الحضور!$O13="A",BD11+X11+1,IF(OR(الحضور!$O13="W",الحضور!$O13="PH"),BD11,0)))</f>
        <v>0</v>
      </c>
      <c r="BF11" s="84">
        <f>IF($B11="",0,IF(الحضور!$P13="A",BE11+Y11+1,IF(OR(الحضور!$P13="W",الحضور!$P13="PH"),BE11,0)))</f>
        <v>0</v>
      </c>
      <c r="BG11" s="84">
        <f>IF($B11="",0,IF(الحضور!$Q13="A",BF11+Z11+1,IF(OR(الحضور!$Q13="W",الحضور!$Q13="PH"),BF11,0)))</f>
        <v>0</v>
      </c>
      <c r="BH11" s="84">
        <f>IF($B11="",0,IF(الحضور!$R13="A",BG11+AA11+1,IF(OR(الحضور!$R13="W",الحضور!$R13="PH"),BG11,0)))</f>
        <v>0</v>
      </c>
      <c r="BI11" s="84">
        <f>IF($B11="",0,IF(الحضور!$S13="A",BH11+AB11+1,IF(OR(الحضور!$S13="W",الحضور!$S13="PH"),BH11,0)))</f>
        <v>0</v>
      </c>
      <c r="BJ11" s="84">
        <f>IF($B11="",0,IF(الحضور!$T13="A",BI11+AC11+1,IF(OR(الحضور!$T13="W",الحضور!$T13="PH"),BI11,0)))</f>
        <v>0</v>
      </c>
      <c r="BK11" s="84">
        <f>IF($B11="",0,IF(الحضور!$U13="A",BJ11+AD11+1,IF(OR(الحضور!$U13="W",الحضور!$U13="PH"),BJ11,0)))</f>
        <v>0</v>
      </c>
      <c r="BL11" s="84">
        <f>IF($B11="",0,IF(الحضور!$V13="A",BK11+AE11+1,IF(OR(الحضور!$V13="W",الحضور!$V13="PH"),BK11,0)))</f>
        <v>0</v>
      </c>
      <c r="BM11" s="84">
        <f>IF($B11="",0,IF(الحضور!$W13="A",BL11+AF11+1,IF(OR(الحضور!$W13="W",الحضور!$W13="PH"),BL11,0)))</f>
        <v>0</v>
      </c>
      <c r="BN11" s="84">
        <f>IF($B11="",0,IF(الحضور!$X13="A",BM11+AG11+1,IF(OR(الحضور!$X13="W",الحضور!$X13="PH"),BM11,0)))</f>
        <v>0</v>
      </c>
      <c r="BO11" s="84">
        <f>IF($B11="",0,IF(الحضور!$Y13="A",BN11+AH11+1,IF(OR(الحضور!$Y13="W",الحضور!$Y13="PH"),BN11,0)))</f>
        <v>0</v>
      </c>
      <c r="BP11" s="84">
        <f>IF($B11="",0,IF(الحضور!$Z13="A",BO11+AI11+1,IF(OR(الحضور!$Z13="W",الحضور!$Z13="PH"),BO11,0)))</f>
        <v>0</v>
      </c>
      <c r="BQ11" s="84">
        <f>IF($B11="",0,IF(الحضور!$AA13="A",BP11+AJ11+1,IF(OR(الحضور!$AA13="W",الحضور!$AA13="PH"),BP11,0)))</f>
        <v>0</v>
      </c>
      <c r="BR11" s="84">
        <f>IF($B11="",0,IF(الحضور!$AB13="A",BQ11+AK11+1,IF(OR(الحضور!$AB13="W",الحضور!$AB13="PH"),BQ11,0)))</f>
        <v>0</v>
      </c>
      <c r="BS11" s="84">
        <f>IF($B11="",0,IF(الحضور!$AC13="A",BR11+AL11+1,IF(OR(الحضور!$AC13="W",الحضور!$AC13="PH"),BR11,0)))</f>
        <v>0</v>
      </c>
      <c r="BT11" s="84">
        <f>IF($B11="",0,IF(الحضور!$AD13="A",BS11+AM11+1,IF(OR(الحضور!$AD13="W",الحضور!$AD13="PH"),BS11,0)))</f>
        <v>0</v>
      </c>
      <c r="BU11" s="84">
        <f>IF($B11="",0,IF(الحضور!$AE13="A",BT11+AN11+1,IF(OR(الحضور!$AE13="W",الحضور!$AE13="PH"),BT11,0)))</f>
        <v>0</v>
      </c>
      <c r="BV11" s="84">
        <f>IF($B11="",0,IF(الحضور!$AF13="A",BU11+AO11+1,IF(OR(الحضور!$AF13="W",الحضور!$AF13="PH"),BU11,0)))</f>
        <v>0</v>
      </c>
      <c r="BW11" s="84">
        <f>IF($B11="",0,IF(الحضور!$AG13="A",BV11+AP11+1,IF(OR(الحضور!$AG13="W",الحضور!$AG13="PH"),BV11,0)))</f>
        <v>0</v>
      </c>
      <c r="BX11" s="84">
        <f>IF($B11="",0,IF(الحضور!$AH13="A",BW11+AQ11+1,IF(OR(الحضور!$AH13="W",الحضور!$AH13="PH"),BW11,0)))</f>
        <v>0</v>
      </c>
      <c r="BY11" s="84">
        <f>IF($B11="",0,IF(الحضور!$AI13="A",BX11+AR11+1,IF(OR(الحضور!$AI13="W",الحضور!$AI13="PH"),BX11,0)))</f>
        <v>0</v>
      </c>
      <c r="BZ11" s="84">
        <f>IF($B11="",0,IF(الحضور!$AJ13="A",BY11+AS11+1,IF(OR(الحضور!$AJ13="W",الحضور!$AJ13="PH"),BY11,0)))</f>
        <v>0</v>
      </c>
      <c r="CA11" s="84">
        <f>IF($B11="",0,IF(الحضور!$AK13="A",BZ11+AT11+1,IF(OR(الحضور!$AK13="W",الحضور!$AK13="PH"),BZ11,0)))</f>
        <v>0</v>
      </c>
      <c r="CB11" s="84">
        <f>IF($B11="",0,IF(الحضور!$AL13="A",CA11+AU11+1,IF(OR(الحضور!$AL13="W",الحضور!$AL13="PH"),CA11,0)))</f>
        <v>0</v>
      </c>
      <c r="CC11" s="84">
        <f>IF($B11="",0,IF(الحضور!$AM13="A",CB11+AV11+1,IF(OR(الحضور!$AM13="W",الحضور!$AM13="PH"),CB11,0)))</f>
        <v>0</v>
      </c>
      <c r="CD11" s="84">
        <f>IF($B11="",0,IF(الحضور!$AN13="A",CC11+AW11+1,IF(OR(الحضور!$AN13="W",الحضور!$AN13="PH"),CC11,0)))</f>
        <v>0</v>
      </c>
      <c r="CE11" s="84">
        <f>IF($B11="",0,IF(الحضور!$AO13="A",CD11+AX11+1,IF(OR(الحضور!$AO13="W",الحضور!$AO13="PH"),CD11,0)))</f>
        <v>0</v>
      </c>
      <c r="CF11" s="84">
        <f>IF($B11="",0,IF(الحضور!$AP13="A",CE11+AY11+1,IF(OR(الحضور!$AP13="W",الحضور!$AP13="PH"),CE11,0)))</f>
        <v>0</v>
      </c>
    </row>
    <row r="12" spans="1:84" ht="16.5" customHeight="1" x14ac:dyDescent="0.35">
      <c r="A12" s="18">
        <v>7</v>
      </c>
      <c r="B12" s="62" t="str">
        <f>IF(الموظفون!$B12="","",الموظفون!$B12)</f>
        <v>EMP-007</v>
      </c>
      <c r="C12" s="61" t="str">
        <f>IF($B12="","",الموظفون!$C12)</f>
        <v>كريم سعيد الخولي</v>
      </c>
      <c r="D12" s="32"/>
      <c r="E12" s="32"/>
      <c r="F12" s="32"/>
      <c r="G12" s="32"/>
      <c r="H12" s="32"/>
      <c r="I12" s="32"/>
      <c r="J12" s="32"/>
      <c r="K12" s="32"/>
      <c r="L12" s="32"/>
      <c r="M12" s="32"/>
      <c r="N12" s="32"/>
      <c r="O12" s="32"/>
      <c r="P12" s="34">
        <f>IF($B12="","",SUM($D12:$O12)+IF(INDEX($D12:$O12,1,الإعدادات!$C$13)="",$Q12,0))</f>
        <v>0</v>
      </c>
      <c r="Q12" s="51">
        <f>IF($B12="","",الحضور!$G14)</f>
        <v>0</v>
      </c>
      <c r="R12" s="34">
        <f t="shared" si="0"/>
        <v>0</v>
      </c>
      <c r="S12" s="32"/>
      <c r="T12" s="61" t="str">
        <f>IF($B12="","",IF(OR($R12&gt;الإعدادات!$C$36,$S12&gt;الإعدادات!$C$36),"تجاوز حد الإنهاء — غياب متصل",IF($P12&gt;الإعدادات!$C$37,"تجاوز حد الإنهاء — غياب متقطع",IF(OR($R12&gt;=الإعدادات!$C$34,$S12&gt;=الإعدادات!$C$34),"إنذار كتابي واجب — غياب متصل",IF($P12&gt;=الإعدادات!$C$35,"إنذار كتابي واجب — غياب متقطع","سليم")))))</f>
        <v>سليم</v>
      </c>
      <c r="V12" s="84">
        <f>IF($B12="",0,IF(OR(الحضور!$L14="W",الحضور!$L14="PH"),0+1,0))</f>
        <v>1</v>
      </c>
      <c r="W12" s="84">
        <f>IF($B12="",0,IF(OR(الحضور!$M14="W",الحضور!$M14="PH"),V12+1,0))</f>
        <v>0</v>
      </c>
      <c r="X12" s="84">
        <f>IF($B12="",0,IF(OR(الحضور!$N14="W",الحضور!$N14="PH"),W12+1,0))</f>
        <v>0</v>
      </c>
      <c r="Y12" s="84">
        <f>IF($B12="",0,IF(OR(الحضور!$O14="W",الحضور!$O14="PH"),X12+1,0))</f>
        <v>0</v>
      </c>
      <c r="Z12" s="84">
        <f>IF($B12="",0,IF(OR(الحضور!$P14="W",الحضور!$P14="PH"),Y12+1,0))</f>
        <v>0</v>
      </c>
      <c r="AA12" s="84">
        <f>IF($B12="",0,IF(OR(الحضور!$Q14="W",الحضور!$Q14="PH"),Z12+1,0))</f>
        <v>0</v>
      </c>
      <c r="AB12" s="84">
        <f>IF($B12="",0,IF(OR(الحضور!$R14="W",الحضور!$R14="PH"),AA12+1,0))</f>
        <v>1</v>
      </c>
      <c r="AC12" s="84">
        <f>IF($B12="",0,IF(OR(الحضور!$S14="W",الحضور!$S14="PH"),AB12+1,0))</f>
        <v>2</v>
      </c>
      <c r="AD12" s="84">
        <f>IF($B12="",0,IF(OR(الحضور!$T14="W",الحضور!$T14="PH"),AC12+1,0))</f>
        <v>0</v>
      </c>
      <c r="AE12" s="84">
        <f>IF($B12="",0,IF(OR(الحضور!$U14="W",الحضور!$U14="PH"),AD12+1,0))</f>
        <v>0</v>
      </c>
      <c r="AF12" s="84">
        <f>IF($B12="",0,IF(OR(الحضور!$V14="W",الحضور!$V14="PH"),AE12+1,0))</f>
        <v>0</v>
      </c>
      <c r="AG12" s="84">
        <f>IF($B12="",0,IF(OR(الحضور!$W14="W",الحضور!$W14="PH"),AF12+1,0))</f>
        <v>0</v>
      </c>
      <c r="AH12" s="84">
        <f>IF($B12="",0,IF(OR(الحضور!$X14="W",الحضور!$X14="PH"),AG12+1,0))</f>
        <v>0</v>
      </c>
      <c r="AI12" s="84">
        <f>IF($B12="",0,IF(OR(الحضور!$Y14="W",الحضور!$Y14="PH"),AH12+1,0))</f>
        <v>1</v>
      </c>
      <c r="AJ12" s="84">
        <f>IF($B12="",0,IF(OR(الحضور!$Z14="W",الحضور!$Z14="PH"),AI12+1,0))</f>
        <v>2</v>
      </c>
      <c r="AK12" s="84">
        <f>IF($B12="",0,IF(OR(الحضور!$AA14="W",الحضور!$AA14="PH"),AJ12+1,0))</f>
        <v>0</v>
      </c>
      <c r="AL12" s="84">
        <f>IF($B12="",0,IF(OR(الحضور!$AB14="W",الحضور!$AB14="PH"),AK12+1,0))</f>
        <v>0</v>
      </c>
      <c r="AM12" s="84">
        <f>IF($B12="",0,IF(OR(الحضور!$AC14="W",الحضور!$AC14="PH"),AL12+1,0))</f>
        <v>0</v>
      </c>
      <c r="AN12" s="84">
        <f>IF($B12="",0,IF(OR(الحضور!$AD14="W",الحضور!$AD14="PH"),AM12+1,0))</f>
        <v>0</v>
      </c>
      <c r="AO12" s="84">
        <f>IF($B12="",0,IF(OR(الحضور!$AE14="W",الحضور!$AE14="PH"),AN12+1,0))</f>
        <v>0</v>
      </c>
      <c r="AP12" s="84">
        <f>IF($B12="",0,IF(OR(الحضور!$AF14="W",الحضور!$AF14="PH"),AO12+1,0))</f>
        <v>1</v>
      </c>
      <c r="AQ12" s="84">
        <f>IF($B12="",0,IF(OR(الحضور!$AG14="W",الحضور!$AG14="PH"),AP12+1,0))</f>
        <v>2</v>
      </c>
      <c r="AR12" s="84">
        <f>IF($B12="",0,IF(OR(الحضور!$AH14="W",الحضور!$AH14="PH"),AQ12+1,0))</f>
        <v>0</v>
      </c>
      <c r="AS12" s="84">
        <f>IF($B12="",0,IF(OR(الحضور!$AI14="W",الحضور!$AI14="PH"),AR12+1,0))</f>
        <v>0</v>
      </c>
      <c r="AT12" s="84">
        <f>IF($B12="",0,IF(OR(الحضور!$AJ14="W",الحضور!$AJ14="PH"),AS12+1,0))</f>
        <v>0</v>
      </c>
      <c r="AU12" s="84">
        <f>IF($B12="",0,IF(OR(الحضور!$AK14="W",الحضور!$AK14="PH"),AT12+1,0))</f>
        <v>0</v>
      </c>
      <c r="AV12" s="84">
        <f>IF($B12="",0,IF(OR(الحضور!$AL14="W",الحضور!$AL14="PH"),AU12+1,0))</f>
        <v>0</v>
      </c>
      <c r="AW12" s="84">
        <f>IF($B12="",0,IF(OR(الحضور!$AM14="W",الحضور!$AM14="PH"),AV12+1,0))</f>
        <v>1</v>
      </c>
      <c r="AX12" s="84">
        <f>IF($B12="",0,IF(OR(الحضور!$AN14="W",الحضور!$AN14="PH"),AW12+1,0))</f>
        <v>2</v>
      </c>
      <c r="AY12" s="84">
        <f>IF($B12="",0,IF(OR(الحضور!$AO14="W",الحضور!$AO14="PH"),AX12+1,0))</f>
        <v>0</v>
      </c>
      <c r="AZ12" s="84">
        <f>IF($B12="",0,IF(OR(الحضور!$AP14="W",الحضور!$AP14="PH"),AY12+1,0))</f>
        <v>0</v>
      </c>
      <c r="BB12" s="84">
        <f>IF($B12="",0,IF(الحضور!$L14="A",0+0+1,IF(OR(الحضور!$L14="W",الحضور!$L14="PH"),0,0)))</f>
        <v>0</v>
      </c>
      <c r="BC12" s="84">
        <f>IF($B12="",0,IF(الحضور!$M14="A",BB12+V12+1,IF(OR(الحضور!$M14="W",الحضور!$M14="PH"),BB12,0)))</f>
        <v>0</v>
      </c>
      <c r="BD12" s="84">
        <f>IF($B12="",0,IF(الحضور!$N14="A",BC12+W12+1,IF(OR(الحضور!$N14="W",الحضور!$N14="PH"),BC12,0)))</f>
        <v>0</v>
      </c>
      <c r="BE12" s="84">
        <f>IF($B12="",0,IF(الحضور!$O14="A",BD12+X12+1,IF(OR(الحضور!$O14="W",الحضور!$O14="PH"),BD12,0)))</f>
        <v>0</v>
      </c>
      <c r="BF12" s="84">
        <f>IF($B12="",0,IF(الحضور!$P14="A",BE12+Y12+1,IF(OR(الحضور!$P14="W",الحضور!$P14="PH"),BE12,0)))</f>
        <v>0</v>
      </c>
      <c r="BG12" s="84">
        <f>IF($B12="",0,IF(الحضور!$Q14="A",BF12+Z12+1,IF(OR(الحضور!$Q14="W",الحضور!$Q14="PH"),BF12,0)))</f>
        <v>0</v>
      </c>
      <c r="BH12" s="84">
        <f>IF($B12="",0,IF(الحضور!$R14="A",BG12+AA12+1,IF(OR(الحضور!$R14="W",الحضور!$R14="PH"),BG12,0)))</f>
        <v>0</v>
      </c>
      <c r="BI12" s="84">
        <f>IF($B12="",0,IF(الحضور!$S14="A",BH12+AB12+1,IF(OR(الحضور!$S14="W",الحضور!$S14="PH"),BH12,0)))</f>
        <v>0</v>
      </c>
      <c r="BJ12" s="84">
        <f>IF($B12="",0,IF(الحضور!$T14="A",BI12+AC12+1,IF(OR(الحضور!$T14="W",الحضور!$T14="PH"),BI12,0)))</f>
        <v>0</v>
      </c>
      <c r="BK12" s="84">
        <f>IF($B12="",0,IF(الحضور!$U14="A",BJ12+AD12+1,IF(OR(الحضور!$U14="W",الحضور!$U14="PH"),BJ12,0)))</f>
        <v>0</v>
      </c>
      <c r="BL12" s="84">
        <f>IF($B12="",0,IF(الحضور!$V14="A",BK12+AE12+1,IF(OR(الحضور!$V14="W",الحضور!$V14="PH"),BK12,0)))</f>
        <v>0</v>
      </c>
      <c r="BM12" s="84">
        <f>IF($B12="",0,IF(الحضور!$W14="A",BL12+AF12+1,IF(OR(الحضور!$W14="W",الحضور!$W14="PH"),BL12,0)))</f>
        <v>0</v>
      </c>
      <c r="BN12" s="84">
        <f>IF($B12="",0,IF(الحضور!$X14="A",BM12+AG12+1,IF(OR(الحضور!$X14="W",الحضور!$X14="PH"),BM12,0)))</f>
        <v>0</v>
      </c>
      <c r="BO12" s="84">
        <f>IF($B12="",0,IF(الحضور!$Y14="A",BN12+AH12+1,IF(OR(الحضور!$Y14="W",الحضور!$Y14="PH"),BN12,0)))</f>
        <v>0</v>
      </c>
      <c r="BP12" s="84">
        <f>IF($B12="",0,IF(الحضور!$Z14="A",BO12+AI12+1,IF(OR(الحضور!$Z14="W",الحضور!$Z14="PH"),BO12,0)))</f>
        <v>0</v>
      </c>
      <c r="BQ12" s="84">
        <f>IF($B12="",0,IF(الحضور!$AA14="A",BP12+AJ12+1,IF(OR(الحضور!$AA14="W",الحضور!$AA14="PH"),BP12,0)))</f>
        <v>0</v>
      </c>
      <c r="BR12" s="84">
        <f>IF($B12="",0,IF(الحضور!$AB14="A",BQ12+AK12+1,IF(OR(الحضور!$AB14="W",الحضور!$AB14="PH"),BQ12,0)))</f>
        <v>0</v>
      </c>
      <c r="BS12" s="84">
        <f>IF($B12="",0,IF(الحضور!$AC14="A",BR12+AL12+1,IF(OR(الحضور!$AC14="W",الحضور!$AC14="PH"),BR12,0)))</f>
        <v>0</v>
      </c>
      <c r="BT12" s="84">
        <f>IF($B12="",0,IF(الحضور!$AD14="A",BS12+AM12+1,IF(OR(الحضور!$AD14="W",الحضور!$AD14="PH"),BS12,0)))</f>
        <v>0</v>
      </c>
      <c r="BU12" s="84">
        <f>IF($B12="",0,IF(الحضور!$AE14="A",BT12+AN12+1,IF(OR(الحضور!$AE14="W",الحضور!$AE14="PH"),BT12,0)))</f>
        <v>0</v>
      </c>
      <c r="BV12" s="84">
        <f>IF($B12="",0,IF(الحضور!$AF14="A",BU12+AO12+1,IF(OR(الحضور!$AF14="W",الحضور!$AF14="PH"),BU12,0)))</f>
        <v>0</v>
      </c>
      <c r="BW12" s="84">
        <f>IF($B12="",0,IF(الحضور!$AG14="A",BV12+AP12+1,IF(OR(الحضور!$AG14="W",الحضور!$AG14="PH"),BV12,0)))</f>
        <v>0</v>
      </c>
      <c r="BX12" s="84">
        <f>IF($B12="",0,IF(الحضور!$AH14="A",BW12+AQ12+1,IF(OR(الحضور!$AH14="W",الحضور!$AH14="PH"),BW12,0)))</f>
        <v>0</v>
      </c>
      <c r="BY12" s="84">
        <f>IF($B12="",0,IF(الحضور!$AI14="A",BX12+AR12+1,IF(OR(الحضور!$AI14="W",الحضور!$AI14="PH"),BX12,0)))</f>
        <v>0</v>
      </c>
      <c r="BZ12" s="84">
        <f>IF($B12="",0,IF(الحضور!$AJ14="A",BY12+AS12+1,IF(OR(الحضور!$AJ14="W",الحضور!$AJ14="PH"),BY12,0)))</f>
        <v>0</v>
      </c>
      <c r="CA12" s="84">
        <f>IF($B12="",0,IF(الحضور!$AK14="A",BZ12+AT12+1,IF(OR(الحضور!$AK14="W",الحضور!$AK14="PH"),BZ12,0)))</f>
        <v>0</v>
      </c>
      <c r="CB12" s="84">
        <f>IF($B12="",0,IF(الحضور!$AL14="A",CA12+AU12+1,IF(OR(الحضور!$AL14="W",الحضور!$AL14="PH"),CA12,0)))</f>
        <v>0</v>
      </c>
      <c r="CC12" s="84">
        <f>IF($B12="",0,IF(الحضور!$AM14="A",CB12+AV12+1,IF(OR(الحضور!$AM14="W",الحضور!$AM14="PH"),CB12,0)))</f>
        <v>0</v>
      </c>
      <c r="CD12" s="84">
        <f>IF($B12="",0,IF(الحضور!$AN14="A",CC12+AW12+1,IF(OR(الحضور!$AN14="W",الحضور!$AN14="PH"),CC12,0)))</f>
        <v>0</v>
      </c>
      <c r="CE12" s="84">
        <f>IF($B12="",0,IF(الحضور!$AO14="A",CD12+AX12+1,IF(OR(الحضور!$AO14="W",الحضور!$AO14="PH"),CD12,0)))</f>
        <v>0</v>
      </c>
      <c r="CF12" s="84">
        <f>IF($B12="",0,IF(الحضور!$AP14="A",CE12+AY12+1,IF(OR(الحضور!$AP14="W",الحضور!$AP14="PH"),CE12,0)))</f>
        <v>0</v>
      </c>
    </row>
    <row r="13" spans="1:84" ht="16.5" customHeight="1" x14ac:dyDescent="0.35">
      <c r="A13" s="18">
        <v>8</v>
      </c>
      <c r="B13" s="62" t="str">
        <f>IF(الموظفون!$B13="","",الموظفون!$B13)</f>
        <v>EMP-008</v>
      </c>
      <c r="C13" s="61" t="str">
        <f>IF($B13="","",الموظفون!$C13)</f>
        <v>بندر الغامدي</v>
      </c>
      <c r="D13" s="32"/>
      <c r="E13" s="32"/>
      <c r="F13" s="32"/>
      <c r="G13" s="32"/>
      <c r="H13" s="32"/>
      <c r="I13" s="32"/>
      <c r="J13" s="32"/>
      <c r="K13" s="32"/>
      <c r="L13" s="32"/>
      <c r="M13" s="32"/>
      <c r="N13" s="32"/>
      <c r="O13" s="32"/>
      <c r="P13" s="34">
        <f>IF($B13="","",SUM($D13:$O13)+IF(INDEX($D13:$O13,1,الإعدادات!$C$13)="",$Q13,0))</f>
        <v>2</v>
      </c>
      <c r="Q13" s="51">
        <f>IF($B13="","",الحضور!$G15)</f>
        <v>2</v>
      </c>
      <c r="R13" s="34">
        <f t="shared" si="0"/>
        <v>1</v>
      </c>
      <c r="S13" s="32"/>
      <c r="T13" s="61" t="str">
        <f>IF($B13="","",IF(OR($R13&gt;الإعدادات!$C$36,$S13&gt;الإعدادات!$C$36),"تجاوز حد الإنهاء — غياب متصل",IF($P13&gt;الإعدادات!$C$37,"تجاوز حد الإنهاء — غياب متقطع",IF(OR($R13&gt;=الإعدادات!$C$34,$S13&gt;=الإعدادات!$C$34),"إنذار كتابي واجب — غياب متصل",IF($P13&gt;=الإعدادات!$C$35,"إنذار كتابي واجب — غياب متقطع","سليم")))))</f>
        <v>سليم</v>
      </c>
      <c r="V13" s="84">
        <f>IF($B13="",0,IF(OR(الحضور!$L15="W",الحضور!$L15="PH"),0+1,0))</f>
        <v>1</v>
      </c>
      <c r="W13" s="84">
        <f>IF($B13="",0,IF(OR(الحضور!$M15="W",الحضور!$M15="PH"),V13+1,0))</f>
        <v>0</v>
      </c>
      <c r="X13" s="84">
        <f>IF($B13="",0,IF(OR(الحضور!$N15="W",الحضور!$N15="PH"),W13+1,0))</f>
        <v>0</v>
      </c>
      <c r="Y13" s="84">
        <f>IF($B13="",0,IF(OR(الحضور!$O15="W",الحضور!$O15="PH"),X13+1,0))</f>
        <v>0</v>
      </c>
      <c r="Z13" s="84">
        <f>IF($B13="",0,IF(OR(الحضور!$P15="W",الحضور!$P15="PH"),Y13+1,0))</f>
        <v>0</v>
      </c>
      <c r="AA13" s="84">
        <f>IF($B13="",0,IF(OR(الحضور!$Q15="W",الحضور!$Q15="PH"),Z13+1,0))</f>
        <v>0</v>
      </c>
      <c r="AB13" s="84">
        <f>IF($B13="",0,IF(OR(الحضور!$R15="W",الحضور!$R15="PH"),AA13+1,0))</f>
        <v>1</v>
      </c>
      <c r="AC13" s="84">
        <f>IF($B13="",0,IF(OR(الحضور!$S15="W",الحضور!$S15="PH"),AB13+1,0))</f>
        <v>2</v>
      </c>
      <c r="AD13" s="84">
        <f>IF($B13="",0,IF(OR(الحضور!$T15="W",الحضور!$T15="PH"),AC13+1,0))</f>
        <v>0</v>
      </c>
      <c r="AE13" s="84">
        <f>IF($B13="",0,IF(OR(الحضور!$U15="W",الحضور!$U15="PH"),AD13+1,0))</f>
        <v>0</v>
      </c>
      <c r="AF13" s="84">
        <f>IF($B13="",0,IF(OR(الحضور!$V15="W",الحضور!$V15="PH"),AE13+1,0))</f>
        <v>0</v>
      </c>
      <c r="AG13" s="84">
        <f>IF($B13="",0,IF(OR(الحضور!$W15="W",الحضور!$W15="PH"),AF13+1,0))</f>
        <v>0</v>
      </c>
      <c r="AH13" s="84">
        <f>IF($B13="",0,IF(OR(الحضور!$X15="W",الحضور!$X15="PH"),AG13+1,0))</f>
        <v>0</v>
      </c>
      <c r="AI13" s="84">
        <f>IF($B13="",0,IF(OR(الحضور!$Y15="W",الحضور!$Y15="PH"),AH13+1,0))</f>
        <v>1</v>
      </c>
      <c r="AJ13" s="84">
        <f>IF($B13="",0,IF(OR(الحضور!$Z15="W",الحضور!$Z15="PH"),AI13+1,0))</f>
        <v>2</v>
      </c>
      <c r="AK13" s="84">
        <f>IF($B13="",0,IF(OR(الحضور!$AA15="W",الحضور!$AA15="PH"),AJ13+1,0))</f>
        <v>0</v>
      </c>
      <c r="AL13" s="84">
        <f>IF($B13="",0,IF(OR(الحضور!$AB15="W",الحضور!$AB15="PH"),AK13+1,0))</f>
        <v>0</v>
      </c>
      <c r="AM13" s="84">
        <f>IF($B13="",0,IF(OR(الحضور!$AC15="W",الحضور!$AC15="PH"),AL13+1,0))</f>
        <v>0</v>
      </c>
      <c r="AN13" s="84">
        <f>IF($B13="",0,IF(OR(الحضور!$AD15="W",الحضور!$AD15="PH"),AM13+1,0))</f>
        <v>0</v>
      </c>
      <c r="AO13" s="84">
        <f>IF($B13="",0,IF(OR(الحضور!$AE15="W",الحضور!$AE15="PH"),AN13+1,0))</f>
        <v>0</v>
      </c>
      <c r="AP13" s="84">
        <f>IF($B13="",0,IF(OR(الحضور!$AF15="W",الحضور!$AF15="PH"),AO13+1,0))</f>
        <v>1</v>
      </c>
      <c r="AQ13" s="84">
        <f>IF($B13="",0,IF(OR(الحضور!$AG15="W",الحضور!$AG15="PH"),AP13+1,0))</f>
        <v>2</v>
      </c>
      <c r="AR13" s="84">
        <f>IF($B13="",0,IF(OR(الحضور!$AH15="W",الحضور!$AH15="PH"),AQ13+1,0))</f>
        <v>0</v>
      </c>
      <c r="AS13" s="84">
        <f>IF($B13="",0,IF(OR(الحضور!$AI15="W",الحضور!$AI15="PH"),AR13+1,0))</f>
        <v>0</v>
      </c>
      <c r="AT13" s="84">
        <f>IF($B13="",0,IF(OR(الحضور!$AJ15="W",الحضور!$AJ15="PH"),AS13+1,0))</f>
        <v>0</v>
      </c>
      <c r="AU13" s="84">
        <f>IF($B13="",0,IF(OR(الحضور!$AK15="W",الحضور!$AK15="PH"),AT13+1,0))</f>
        <v>0</v>
      </c>
      <c r="AV13" s="84">
        <f>IF($B13="",0,IF(OR(الحضور!$AL15="W",الحضور!$AL15="PH"),AU13+1,0))</f>
        <v>0</v>
      </c>
      <c r="AW13" s="84">
        <f>IF($B13="",0,IF(OR(الحضور!$AM15="W",الحضور!$AM15="PH"),AV13+1,0))</f>
        <v>1</v>
      </c>
      <c r="AX13" s="84">
        <f>IF($B13="",0,IF(OR(الحضور!$AN15="W",الحضور!$AN15="PH"),AW13+1,0))</f>
        <v>2</v>
      </c>
      <c r="AY13" s="84">
        <f>IF($B13="",0,IF(OR(الحضور!$AO15="W",الحضور!$AO15="PH"),AX13+1,0))</f>
        <v>0</v>
      </c>
      <c r="AZ13" s="84">
        <f>IF($B13="",0,IF(OR(الحضور!$AP15="W",الحضور!$AP15="PH"),AY13+1,0))</f>
        <v>0</v>
      </c>
      <c r="BB13" s="84">
        <f>IF($B13="",0,IF(الحضور!$L15="A",0+0+1,IF(OR(الحضور!$L15="W",الحضور!$L15="PH"),0,0)))</f>
        <v>0</v>
      </c>
      <c r="BC13" s="84">
        <f>IF($B13="",0,IF(الحضور!$M15="A",BB13+V13+1,IF(OR(الحضور!$M15="W",الحضور!$M15="PH"),BB13,0)))</f>
        <v>0</v>
      </c>
      <c r="BD13" s="84">
        <f>IF($B13="",0,IF(الحضور!$N15="A",BC13+W13+1,IF(OR(الحضور!$N15="W",الحضور!$N15="PH"),BC13,0)))</f>
        <v>0</v>
      </c>
      <c r="BE13" s="84">
        <f>IF($B13="",0,IF(الحضور!$O15="A",BD13+X13+1,IF(OR(الحضور!$O15="W",الحضور!$O15="PH"),BD13,0)))</f>
        <v>0</v>
      </c>
      <c r="BF13" s="84">
        <f>IF($B13="",0,IF(الحضور!$P15="A",BE13+Y13+1,IF(OR(الحضور!$P15="W",الحضور!$P15="PH"),BE13,0)))</f>
        <v>0</v>
      </c>
      <c r="BG13" s="84">
        <f>IF($B13="",0,IF(الحضور!$Q15="A",BF13+Z13+1,IF(OR(الحضور!$Q15="W",الحضور!$Q15="PH"),BF13,0)))</f>
        <v>0</v>
      </c>
      <c r="BH13" s="84">
        <f>IF($B13="",0,IF(الحضور!$R15="A",BG13+AA13+1,IF(OR(الحضور!$R15="W",الحضور!$R15="PH"),BG13,0)))</f>
        <v>0</v>
      </c>
      <c r="BI13" s="84">
        <f>IF($B13="",0,IF(الحضور!$S15="A",BH13+AB13+1,IF(OR(الحضور!$S15="W",الحضور!$S15="PH"),BH13,0)))</f>
        <v>0</v>
      </c>
      <c r="BJ13" s="84">
        <f>IF($B13="",0,IF(الحضور!$T15="A",BI13+AC13+1,IF(OR(الحضور!$T15="W",الحضور!$T15="PH"),BI13,0)))</f>
        <v>0</v>
      </c>
      <c r="BK13" s="84">
        <f>IF($B13="",0,IF(الحضور!$U15="A",BJ13+AD13+1,IF(OR(الحضور!$U15="W",الحضور!$U15="PH"),BJ13,0)))</f>
        <v>1</v>
      </c>
      <c r="BL13" s="84">
        <f>IF($B13="",0,IF(الحضور!$V15="A",BK13+AE13+1,IF(OR(الحضور!$V15="W",الحضور!$V15="PH"),BK13,0)))</f>
        <v>0</v>
      </c>
      <c r="BM13" s="84">
        <f>IF($B13="",0,IF(الحضور!$W15="A",BL13+AF13+1,IF(OR(الحضور!$W15="W",الحضور!$W15="PH"),BL13,0)))</f>
        <v>0</v>
      </c>
      <c r="BN13" s="84">
        <f>IF($B13="",0,IF(الحضور!$X15="A",BM13+AG13+1,IF(OR(الحضور!$X15="W",الحضور!$X15="PH"),BM13,0)))</f>
        <v>0</v>
      </c>
      <c r="BO13" s="84">
        <f>IF($B13="",0,IF(الحضور!$Y15="A",BN13+AH13+1,IF(OR(الحضور!$Y15="W",الحضور!$Y15="PH"),BN13,0)))</f>
        <v>0</v>
      </c>
      <c r="BP13" s="84">
        <f>IF($B13="",0,IF(الحضور!$Z15="A",BO13+AI13+1,IF(OR(الحضور!$Z15="W",الحضور!$Z15="PH"),BO13,0)))</f>
        <v>0</v>
      </c>
      <c r="BQ13" s="84">
        <f>IF($B13="",0,IF(الحضور!$AA15="A",BP13+AJ13+1,IF(OR(الحضور!$AA15="W",الحضور!$AA15="PH"),BP13,0)))</f>
        <v>0</v>
      </c>
      <c r="BR13" s="84">
        <f>IF($B13="",0,IF(الحضور!$AB15="A",BQ13+AK13+1,IF(OR(الحضور!$AB15="W",الحضور!$AB15="PH"),BQ13,0)))</f>
        <v>1</v>
      </c>
      <c r="BS13" s="84">
        <f>IF($B13="",0,IF(الحضور!$AC15="A",BR13+AL13+1,IF(OR(الحضور!$AC15="W",الحضور!$AC15="PH"),BR13,0)))</f>
        <v>0</v>
      </c>
      <c r="BT13" s="84">
        <f>IF($B13="",0,IF(الحضور!$AD15="A",BS13+AM13+1,IF(OR(الحضور!$AD15="W",الحضور!$AD15="PH"),BS13,0)))</f>
        <v>0</v>
      </c>
      <c r="BU13" s="84">
        <f>IF($B13="",0,IF(الحضور!$AE15="A",BT13+AN13+1,IF(OR(الحضور!$AE15="W",الحضور!$AE15="PH"),BT13,0)))</f>
        <v>0</v>
      </c>
      <c r="BV13" s="84">
        <f>IF($B13="",0,IF(الحضور!$AF15="A",BU13+AO13+1,IF(OR(الحضور!$AF15="W",الحضور!$AF15="PH"),BU13,0)))</f>
        <v>0</v>
      </c>
      <c r="BW13" s="84">
        <f>IF($B13="",0,IF(الحضور!$AG15="A",BV13+AP13+1,IF(OR(الحضور!$AG15="W",الحضور!$AG15="PH"),BV13,0)))</f>
        <v>0</v>
      </c>
      <c r="BX13" s="84">
        <f>IF($B13="",0,IF(الحضور!$AH15="A",BW13+AQ13+1,IF(OR(الحضور!$AH15="W",الحضور!$AH15="PH"),BW13,0)))</f>
        <v>0</v>
      </c>
      <c r="BY13" s="84">
        <f>IF($B13="",0,IF(الحضور!$AI15="A",BX13+AR13+1,IF(OR(الحضور!$AI15="W",الحضور!$AI15="PH"),BX13,0)))</f>
        <v>0</v>
      </c>
      <c r="BZ13" s="84">
        <f>IF($B13="",0,IF(الحضور!$AJ15="A",BY13+AS13+1,IF(OR(الحضور!$AJ15="W",الحضور!$AJ15="PH"),BY13,0)))</f>
        <v>0</v>
      </c>
      <c r="CA13" s="84">
        <f>IF($B13="",0,IF(الحضور!$AK15="A",BZ13+AT13+1,IF(OR(الحضور!$AK15="W",الحضور!$AK15="PH"),BZ13,0)))</f>
        <v>0</v>
      </c>
      <c r="CB13" s="84">
        <f>IF($B13="",0,IF(الحضور!$AL15="A",CA13+AU13+1,IF(OR(الحضور!$AL15="W",الحضور!$AL15="PH"),CA13,0)))</f>
        <v>0</v>
      </c>
      <c r="CC13" s="84">
        <f>IF($B13="",0,IF(الحضور!$AM15="A",CB13+AV13+1,IF(OR(الحضور!$AM15="W",الحضور!$AM15="PH"),CB13,0)))</f>
        <v>0</v>
      </c>
      <c r="CD13" s="84">
        <f>IF($B13="",0,IF(الحضور!$AN15="A",CC13+AW13+1,IF(OR(الحضور!$AN15="W",الحضور!$AN15="PH"),CC13,0)))</f>
        <v>0</v>
      </c>
      <c r="CE13" s="84">
        <f>IF($B13="",0,IF(الحضور!$AO15="A",CD13+AX13+1,IF(OR(الحضور!$AO15="W",الحضور!$AO15="PH"),CD13,0)))</f>
        <v>0</v>
      </c>
      <c r="CF13" s="84">
        <f>IF($B13="",0,IF(الحضور!$AP15="A",CE13+AY13+1,IF(OR(الحضور!$AP15="W",الحضور!$AP15="PH"),CE13,0)))</f>
        <v>0</v>
      </c>
    </row>
    <row r="14" spans="1:84" ht="16.5" customHeight="1" x14ac:dyDescent="0.35">
      <c r="A14" s="18">
        <v>9</v>
      </c>
      <c r="B14" s="62" t="str">
        <f>IF(الموظفون!$B14="","",الموظفون!$B14)</f>
        <v>EMP-009</v>
      </c>
      <c r="C14" s="61" t="str">
        <f>IF($B14="","",الموظفون!$C14)</f>
        <v>عمر شعبان النجار</v>
      </c>
      <c r="D14" s="32"/>
      <c r="E14" s="32"/>
      <c r="F14" s="32"/>
      <c r="G14" s="32"/>
      <c r="H14" s="32"/>
      <c r="I14" s="32"/>
      <c r="J14" s="32"/>
      <c r="K14" s="32"/>
      <c r="L14" s="32"/>
      <c r="M14" s="32"/>
      <c r="N14" s="32"/>
      <c r="O14" s="32"/>
      <c r="P14" s="34">
        <f>IF($B14="","",SUM($D14:$O14)+IF(INDEX($D14:$O14,1,الإعدادات!$C$13)="",$Q14,0))</f>
        <v>8</v>
      </c>
      <c r="Q14" s="51">
        <f>IF($B14="","",الحضور!$G16)</f>
        <v>8</v>
      </c>
      <c r="R14" s="34">
        <f t="shared" si="0"/>
        <v>10</v>
      </c>
      <c r="S14" s="32"/>
      <c r="T14" s="61" t="str">
        <f>IF($B14="","",IF(OR($R14&gt;الإعدادات!$C$36,$S14&gt;الإعدادات!$C$36),"تجاوز حد الإنهاء — غياب متصل",IF($P14&gt;الإعدادات!$C$37,"تجاوز حد الإنهاء — غياب متقطع",IF(OR($R14&gt;=الإعدادات!$C$34,$S14&gt;=الإعدادات!$C$34),"إنذار كتابي واجب — غياب متصل",IF($P14&gt;=الإعدادات!$C$35,"إنذار كتابي واجب — غياب متقطع","سليم")))))</f>
        <v>إنذار كتابي واجب — غياب متصل</v>
      </c>
      <c r="V14" s="84">
        <f>IF($B14="",0,IF(OR(الحضور!$L16="W",الحضور!$L16="PH"),0+1,0))</f>
        <v>1</v>
      </c>
      <c r="W14" s="84">
        <f>IF($B14="",0,IF(OR(الحضور!$M16="W",الحضور!$M16="PH"),V14+1,0))</f>
        <v>0</v>
      </c>
      <c r="X14" s="84">
        <f>IF($B14="",0,IF(OR(الحضور!$N16="W",الحضور!$N16="PH"),W14+1,0))</f>
        <v>0</v>
      </c>
      <c r="Y14" s="84">
        <f>IF($B14="",0,IF(OR(الحضور!$O16="W",الحضور!$O16="PH"),X14+1,0))</f>
        <v>0</v>
      </c>
      <c r="Z14" s="84">
        <f>IF($B14="",0,IF(OR(الحضور!$P16="W",الحضور!$P16="PH"),Y14+1,0))</f>
        <v>0</v>
      </c>
      <c r="AA14" s="84">
        <f>IF($B14="",0,IF(OR(الحضور!$Q16="W",الحضور!$Q16="PH"),Z14+1,0))</f>
        <v>0</v>
      </c>
      <c r="AB14" s="84">
        <f>IF($B14="",0,IF(OR(الحضور!$R16="W",الحضور!$R16="PH"),AA14+1,0))</f>
        <v>1</v>
      </c>
      <c r="AC14" s="84">
        <f>IF($B14="",0,IF(OR(الحضور!$S16="W",الحضور!$S16="PH"),AB14+1,0))</f>
        <v>2</v>
      </c>
      <c r="AD14" s="84">
        <f>IF($B14="",0,IF(OR(الحضور!$T16="W",الحضور!$T16="PH"),AC14+1,0))</f>
        <v>0</v>
      </c>
      <c r="AE14" s="84">
        <f>IF($B14="",0,IF(OR(الحضور!$U16="W",الحضور!$U16="PH"),AD14+1,0))</f>
        <v>0</v>
      </c>
      <c r="AF14" s="84">
        <f>IF($B14="",0,IF(OR(الحضور!$V16="W",الحضور!$V16="PH"),AE14+1,0))</f>
        <v>0</v>
      </c>
      <c r="AG14" s="84">
        <f>IF($B14="",0,IF(OR(الحضور!$W16="W",الحضور!$W16="PH"),AF14+1,0))</f>
        <v>0</v>
      </c>
      <c r="AH14" s="84">
        <f>IF($B14="",0,IF(OR(الحضور!$X16="W",الحضور!$X16="PH"),AG14+1,0))</f>
        <v>0</v>
      </c>
      <c r="AI14" s="84">
        <f>IF($B14="",0,IF(OR(الحضور!$Y16="W",الحضور!$Y16="PH"),AH14+1,0))</f>
        <v>1</v>
      </c>
      <c r="AJ14" s="84">
        <f>IF($B14="",0,IF(OR(الحضور!$Z16="W",الحضور!$Z16="PH"),AI14+1,0))</f>
        <v>2</v>
      </c>
      <c r="AK14" s="84">
        <f>IF($B14="",0,IF(OR(الحضور!$AA16="W",الحضور!$AA16="PH"),AJ14+1,0))</f>
        <v>0</v>
      </c>
      <c r="AL14" s="84">
        <f>IF($B14="",0,IF(OR(الحضور!$AB16="W",الحضور!$AB16="PH"),AK14+1,0))</f>
        <v>0</v>
      </c>
      <c r="AM14" s="84">
        <f>IF($B14="",0,IF(OR(الحضور!$AC16="W",الحضور!$AC16="PH"),AL14+1,0))</f>
        <v>0</v>
      </c>
      <c r="AN14" s="84">
        <f>IF($B14="",0,IF(OR(الحضور!$AD16="W",الحضور!$AD16="PH"),AM14+1,0))</f>
        <v>0</v>
      </c>
      <c r="AO14" s="84">
        <f>IF($B14="",0,IF(OR(الحضور!$AE16="W",الحضور!$AE16="PH"),AN14+1,0))</f>
        <v>0</v>
      </c>
      <c r="AP14" s="84">
        <f>IF($B14="",0,IF(OR(الحضور!$AF16="W",الحضور!$AF16="PH"),AO14+1,0))</f>
        <v>1</v>
      </c>
      <c r="AQ14" s="84">
        <f>IF($B14="",0,IF(OR(الحضور!$AG16="W",الحضور!$AG16="PH"),AP14+1,0))</f>
        <v>2</v>
      </c>
      <c r="AR14" s="84">
        <f>IF($B14="",0,IF(OR(الحضور!$AH16="W",الحضور!$AH16="PH"),AQ14+1,0))</f>
        <v>0</v>
      </c>
      <c r="AS14" s="84">
        <f>IF($B14="",0,IF(OR(الحضور!$AI16="W",الحضور!$AI16="PH"),AR14+1,0))</f>
        <v>0</v>
      </c>
      <c r="AT14" s="84">
        <f>IF($B14="",0,IF(OR(الحضور!$AJ16="W",الحضور!$AJ16="PH"),AS14+1,0))</f>
        <v>0</v>
      </c>
      <c r="AU14" s="84">
        <f>IF($B14="",0,IF(OR(الحضور!$AK16="W",الحضور!$AK16="PH"),AT14+1,0))</f>
        <v>0</v>
      </c>
      <c r="AV14" s="84">
        <f>IF($B14="",0,IF(OR(الحضور!$AL16="W",الحضور!$AL16="PH"),AU14+1,0))</f>
        <v>0</v>
      </c>
      <c r="AW14" s="84">
        <f>IF($B14="",0,IF(OR(الحضور!$AM16="W",الحضور!$AM16="PH"),AV14+1,0))</f>
        <v>1</v>
      </c>
      <c r="AX14" s="84">
        <f>IF($B14="",0,IF(OR(الحضور!$AN16="W",الحضور!$AN16="PH"),AW14+1,0))</f>
        <v>2</v>
      </c>
      <c r="AY14" s="84">
        <f>IF($B14="",0,IF(OR(الحضور!$AO16="W",الحضور!$AO16="PH"),AX14+1,0))</f>
        <v>0</v>
      </c>
      <c r="AZ14" s="84">
        <f>IF($B14="",0,IF(OR(الحضور!$AP16="W",الحضور!$AP16="PH"),AY14+1,0))</f>
        <v>0</v>
      </c>
      <c r="BB14" s="84">
        <f>IF($B14="",0,IF(الحضور!$L16="A",0+0+1,IF(OR(الحضور!$L16="W",الحضور!$L16="PH"),0,0)))</f>
        <v>0</v>
      </c>
      <c r="BC14" s="84">
        <f>IF($B14="",0,IF(الحضور!$M16="A",BB14+V14+1,IF(OR(الحضور!$M16="W",الحضور!$M16="PH"),BB14,0)))</f>
        <v>0</v>
      </c>
      <c r="BD14" s="84">
        <f>IF($B14="",0,IF(الحضور!$N16="A",BC14+W14+1,IF(OR(الحضور!$N16="W",الحضور!$N16="PH"),BC14,0)))</f>
        <v>1</v>
      </c>
      <c r="BE14" s="84">
        <f>IF($B14="",0,IF(الحضور!$O16="A",BD14+X14+1,IF(OR(الحضور!$O16="W",الحضور!$O16="PH"),BD14,0)))</f>
        <v>2</v>
      </c>
      <c r="BF14" s="84">
        <f>IF($B14="",0,IF(الحضور!$P16="A",BE14+Y14+1,IF(OR(الحضور!$P16="W",الحضور!$P16="PH"),BE14,0)))</f>
        <v>3</v>
      </c>
      <c r="BG14" s="84">
        <f>IF($B14="",0,IF(الحضور!$Q16="A",BF14+Z14+1,IF(OR(الحضور!$Q16="W",الحضور!$Q16="PH"),BF14,0)))</f>
        <v>4</v>
      </c>
      <c r="BH14" s="84">
        <f>IF($B14="",0,IF(الحضور!$R16="A",BG14+AA14+1,IF(OR(الحضور!$R16="W",الحضور!$R16="PH"),BG14,0)))</f>
        <v>4</v>
      </c>
      <c r="BI14" s="84">
        <f>IF($B14="",0,IF(الحضور!$S16="A",BH14+AB14+1,IF(OR(الحضور!$S16="W",الحضور!$S16="PH"),BH14,0)))</f>
        <v>4</v>
      </c>
      <c r="BJ14" s="84">
        <f>IF($B14="",0,IF(الحضور!$T16="A",BI14+AC14+1,IF(OR(الحضور!$T16="W",الحضور!$T16="PH"),BI14,0)))</f>
        <v>7</v>
      </c>
      <c r="BK14" s="84">
        <f>IF($B14="",0,IF(الحضور!$U16="A",BJ14+AD14+1,IF(OR(الحضور!$U16="W",الحضور!$U16="PH"),BJ14,0)))</f>
        <v>8</v>
      </c>
      <c r="BL14" s="84">
        <f>IF($B14="",0,IF(الحضور!$V16="A",BK14+AE14+1,IF(OR(الحضور!$V16="W",الحضور!$V16="PH"),BK14,0)))</f>
        <v>9</v>
      </c>
      <c r="BM14" s="84">
        <f>IF($B14="",0,IF(الحضور!$W16="A",BL14+AF14+1,IF(OR(الحضور!$W16="W",الحضور!$W16="PH"),BL14,0)))</f>
        <v>10</v>
      </c>
      <c r="BN14" s="84">
        <f>IF($B14="",0,IF(الحضور!$X16="A",BM14+AG14+1,IF(OR(الحضور!$X16="W",الحضور!$X16="PH"),BM14,0)))</f>
        <v>0</v>
      </c>
      <c r="BO14" s="84">
        <f>IF($B14="",0,IF(الحضور!$Y16="A",BN14+AH14+1,IF(OR(الحضور!$Y16="W",الحضور!$Y16="PH"),BN14,0)))</f>
        <v>0</v>
      </c>
      <c r="BP14" s="84">
        <f>IF($B14="",0,IF(الحضور!$Z16="A",BO14+AI14+1,IF(OR(الحضور!$Z16="W",الحضور!$Z16="PH"),BO14,0)))</f>
        <v>0</v>
      </c>
      <c r="BQ14" s="84">
        <f>IF($B14="",0,IF(الحضور!$AA16="A",BP14+AJ14+1,IF(OR(الحضور!$AA16="W",الحضور!$AA16="PH"),BP14,0)))</f>
        <v>0</v>
      </c>
      <c r="BR14" s="84">
        <f>IF($B14="",0,IF(الحضور!$AB16="A",BQ14+AK14+1,IF(OR(الحضور!$AB16="W",الحضور!$AB16="PH"),BQ14,0)))</f>
        <v>0</v>
      </c>
      <c r="BS14" s="84">
        <f>IF($B14="",0,IF(الحضور!$AC16="A",BR14+AL14+1,IF(OR(الحضور!$AC16="W",الحضور!$AC16="PH"),BR14,0)))</f>
        <v>0</v>
      </c>
      <c r="BT14" s="84">
        <f>IF($B14="",0,IF(الحضور!$AD16="A",BS14+AM14+1,IF(OR(الحضور!$AD16="W",الحضور!$AD16="PH"),BS14,0)))</f>
        <v>0</v>
      </c>
      <c r="BU14" s="84">
        <f>IF($B14="",0,IF(الحضور!$AE16="A",BT14+AN14+1,IF(OR(الحضور!$AE16="W",الحضور!$AE16="PH"),BT14,0)))</f>
        <v>0</v>
      </c>
      <c r="BV14" s="84">
        <f>IF($B14="",0,IF(الحضور!$AF16="A",BU14+AO14+1,IF(OR(الحضور!$AF16="W",الحضور!$AF16="PH"),BU14,0)))</f>
        <v>0</v>
      </c>
      <c r="BW14" s="84">
        <f>IF($B14="",0,IF(الحضور!$AG16="A",BV14+AP14+1,IF(OR(الحضور!$AG16="W",الحضور!$AG16="PH"),BV14,0)))</f>
        <v>0</v>
      </c>
      <c r="BX14" s="84">
        <f>IF($B14="",0,IF(الحضور!$AH16="A",BW14+AQ14+1,IF(OR(الحضور!$AH16="W",الحضور!$AH16="PH"),BW14,0)))</f>
        <v>0</v>
      </c>
      <c r="BY14" s="84">
        <f>IF($B14="",0,IF(الحضور!$AI16="A",BX14+AR14+1,IF(OR(الحضور!$AI16="W",الحضور!$AI16="PH"),BX14,0)))</f>
        <v>0</v>
      </c>
      <c r="BZ14" s="84">
        <f>IF($B14="",0,IF(الحضور!$AJ16="A",BY14+AS14+1,IF(OR(الحضور!$AJ16="W",الحضور!$AJ16="PH"),BY14,0)))</f>
        <v>0</v>
      </c>
      <c r="CA14" s="84">
        <f>IF($B14="",0,IF(الحضور!$AK16="A",BZ14+AT14+1,IF(OR(الحضور!$AK16="W",الحضور!$AK16="PH"),BZ14,0)))</f>
        <v>0</v>
      </c>
      <c r="CB14" s="84">
        <f>IF($B14="",0,IF(الحضور!$AL16="A",CA14+AU14+1,IF(OR(الحضور!$AL16="W",الحضور!$AL16="PH"),CA14,0)))</f>
        <v>0</v>
      </c>
      <c r="CC14" s="84">
        <f>IF($B14="",0,IF(الحضور!$AM16="A",CB14+AV14+1,IF(OR(الحضور!$AM16="W",الحضور!$AM16="PH"),CB14,0)))</f>
        <v>0</v>
      </c>
      <c r="CD14" s="84">
        <f>IF($B14="",0,IF(الحضور!$AN16="A",CC14+AW14+1,IF(OR(الحضور!$AN16="W",الحضور!$AN16="PH"),CC14,0)))</f>
        <v>0</v>
      </c>
      <c r="CE14" s="84">
        <f>IF($B14="",0,IF(الحضور!$AO16="A",CD14+AX14+1,IF(OR(الحضور!$AO16="W",الحضور!$AO16="PH"),CD14,0)))</f>
        <v>0</v>
      </c>
      <c r="CF14" s="84">
        <f>IF($B14="",0,IF(الحضور!$AP16="A",CE14+AY14+1,IF(OR(الحضور!$AP16="W",الحضور!$AP16="PH"),CE14,0)))</f>
        <v>0</v>
      </c>
    </row>
    <row r="15" spans="1:84" ht="16.5" customHeight="1" x14ac:dyDescent="0.35">
      <c r="A15" s="18">
        <v>10</v>
      </c>
      <c r="B15" s="62" t="str">
        <f>IF(الموظفون!$B15="","",الموظفون!$B15)</f>
        <v>EMP-010</v>
      </c>
      <c r="C15" s="61" t="str">
        <f>IF($B15="","",الموظفون!$C15)</f>
        <v>ماجد الدوسري</v>
      </c>
      <c r="D15" s="32"/>
      <c r="E15" s="32"/>
      <c r="F15" s="32"/>
      <c r="G15" s="32"/>
      <c r="H15" s="32"/>
      <c r="I15" s="32"/>
      <c r="J15" s="32"/>
      <c r="K15" s="32"/>
      <c r="L15" s="32"/>
      <c r="M15" s="32"/>
      <c r="N15" s="32"/>
      <c r="O15" s="32"/>
      <c r="P15" s="34">
        <f>IF($B15="","",SUM($D15:$O15)+IF(INDEX($D15:$O15,1,الإعدادات!$C$13)="",$Q15,0))</f>
        <v>0</v>
      </c>
      <c r="Q15" s="51">
        <f>IF($B15="","",الحضور!$G17)</f>
        <v>0</v>
      </c>
      <c r="R15" s="34">
        <f t="shared" si="0"/>
        <v>0</v>
      </c>
      <c r="S15" s="32"/>
      <c r="T15" s="61" t="str">
        <f>IF($B15="","",IF(OR($R15&gt;الإعدادات!$C$36,$S15&gt;الإعدادات!$C$36),"تجاوز حد الإنهاء — غياب متصل",IF($P15&gt;الإعدادات!$C$37,"تجاوز حد الإنهاء — غياب متقطع",IF(OR($R15&gt;=الإعدادات!$C$34,$S15&gt;=الإعدادات!$C$34),"إنذار كتابي واجب — غياب متصل",IF($P15&gt;=الإعدادات!$C$35,"إنذار كتابي واجب — غياب متقطع","سليم")))))</f>
        <v>سليم</v>
      </c>
      <c r="V15" s="84">
        <f>IF($B15="",0,IF(OR(الحضور!$L17="W",الحضور!$L17="PH"),0+1,0))</f>
        <v>1</v>
      </c>
      <c r="W15" s="84">
        <f>IF($B15="",0,IF(OR(الحضور!$M17="W",الحضور!$M17="PH"),V15+1,0))</f>
        <v>0</v>
      </c>
      <c r="X15" s="84">
        <f>IF($B15="",0,IF(OR(الحضور!$N17="W",الحضور!$N17="PH"),W15+1,0))</f>
        <v>0</v>
      </c>
      <c r="Y15" s="84">
        <f>IF($B15="",0,IF(OR(الحضور!$O17="W",الحضور!$O17="PH"),X15+1,0))</f>
        <v>0</v>
      </c>
      <c r="Z15" s="84">
        <f>IF($B15="",0,IF(OR(الحضور!$P17="W",الحضور!$P17="PH"),Y15+1,0))</f>
        <v>0</v>
      </c>
      <c r="AA15" s="84">
        <f>IF($B15="",0,IF(OR(الحضور!$Q17="W",الحضور!$Q17="PH"),Z15+1,0))</f>
        <v>0</v>
      </c>
      <c r="AB15" s="84">
        <f>IF($B15="",0,IF(OR(الحضور!$R17="W",الحضور!$R17="PH"),AA15+1,0))</f>
        <v>1</v>
      </c>
      <c r="AC15" s="84">
        <f>IF($B15="",0,IF(OR(الحضور!$S17="W",الحضور!$S17="PH"),AB15+1,0))</f>
        <v>2</v>
      </c>
      <c r="AD15" s="84">
        <f>IF($B15="",0,IF(OR(الحضور!$T17="W",الحضور!$T17="PH"),AC15+1,0))</f>
        <v>0</v>
      </c>
      <c r="AE15" s="84">
        <f>IF($B15="",0,IF(OR(الحضور!$U17="W",الحضور!$U17="PH"),AD15+1,0))</f>
        <v>0</v>
      </c>
      <c r="AF15" s="84">
        <f>IF($B15="",0,IF(OR(الحضور!$V17="W",الحضور!$V17="PH"),AE15+1,0))</f>
        <v>0</v>
      </c>
      <c r="AG15" s="84">
        <f>IF($B15="",0,IF(OR(الحضور!$W17="W",الحضور!$W17="PH"),AF15+1,0))</f>
        <v>0</v>
      </c>
      <c r="AH15" s="84">
        <f>IF($B15="",0,IF(OR(الحضور!$X17="W",الحضور!$X17="PH"),AG15+1,0))</f>
        <v>0</v>
      </c>
      <c r="AI15" s="84">
        <f>IF($B15="",0,IF(OR(الحضور!$Y17="W",الحضور!$Y17="PH"),AH15+1,0))</f>
        <v>1</v>
      </c>
      <c r="AJ15" s="84">
        <f>IF($B15="",0,IF(OR(الحضور!$Z17="W",الحضور!$Z17="PH"),AI15+1,0))</f>
        <v>2</v>
      </c>
      <c r="AK15" s="84">
        <f>IF($B15="",0,IF(OR(الحضور!$AA17="W",الحضور!$AA17="PH"),AJ15+1,0))</f>
        <v>0</v>
      </c>
      <c r="AL15" s="84">
        <f>IF($B15="",0,IF(OR(الحضور!$AB17="W",الحضور!$AB17="PH"),AK15+1,0))</f>
        <v>0</v>
      </c>
      <c r="AM15" s="84">
        <f>IF($B15="",0,IF(OR(الحضور!$AC17="W",الحضور!$AC17="PH"),AL15+1,0))</f>
        <v>0</v>
      </c>
      <c r="AN15" s="84">
        <f>IF($B15="",0,IF(OR(الحضور!$AD17="W",الحضور!$AD17="PH"),AM15+1,0))</f>
        <v>0</v>
      </c>
      <c r="AO15" s="84">
        <f>IF($B15="",0,IF(OR(الحضور!$AE17="W",الحضور!$AE17="PH"),AN15+1,0))</f>
        <v>0</v>
      </c>
      <c r="AP15" s="84">
        <f>IF($B15="",0,IF(OR(الحضور!$AF17="W",الحضور!$AF17="PH"),AO15+1,0))</f>
        <v>1</v>
      </c>
      <c r="AQ15" s="84">
        <f>IF($B15="",0,IF(OR(الحضور!$AG17="W",الحضور!$AG17="PH"),AP15+1,0))</f>
        <v>2</v>
      </c>
      <c r="AR15" s="84">
        <f>IF($B15="",0,IF(OR(الحضور!$AH17="W",الحضور!$AH17="PH"),AQ15+1,0))</f>
        <v>0</v>
      </c>
      <c r="AS15" s="84">
        <f>IF($B15="",0,IF(OR(الحضور!$AI17="W",الحضور!$AI17="PH"),AR15+1,0))</f>
        <v>0</v>
      </c>
      <c r="AT15" s="84">
        <f>IF($B15="",0,IF(OR(الحضور!$AJ17="W",الحضور!$AJ17="PH"),AS15+1,0))</f>
        <v>0</v>
      </c>
      <c r="AU15" s="84">
        <f>IF($B15="",0,IF(OR(الحضور!$AK17="W",الحضور!$AK17="PH"),AT15+1,0))</f>
        <v>0</v>
      </c>
      <c r="AV15" s="84">
        <f>IF($B15="",0,IF(OR(الحضور!$AL17="W",الحضور!$AL17="PH"),AU15+1,0))</f>
        <v>0</v>
      </c>
      <c r="AW15" s="84">
        <f>IF($B15="",0,IF(OR(الحضور!$AM17="W",الحضور!$AM17="PH"),AV15+1,0))</f>
        <v>1</v>
      </c>
      <c r="AX15" s="84">
        <f>IF($B15="",0,IF(OR(الحضور!$AN17="W",الحضور!$AN17="PH"),AW15+1,0))</f>
        <v>2</v>
      </c>
      <c r="AY15" s="84">
        <f>IF($B15="",0,IF(OR(الحضور!$AO17="W",الحضور!$AO17="PH"),AX15+1,0))</f>
        <v>0</v>
      </c>
      <c r="AZ15" s="84">
        <f>IF($B15="",0,IF(OR(الحضور!$AP17="W",الحضور!$AP17="PH"),AY15+1,0))</f>
        <v>0</v>
      </c>
      <c r="BB15" s="84">
        <f>IF($B15="",0,IF(الحضور!$L17="A",0+0+1,IF(OR(الحضور!$L17="W",الحضور!$L17="PH"),0,0)))</f>
        <v>0</v>
      </c>
      <c r="BC15" s="84">
        <f>IF($B15="",0,IF(الحضور!$M17="A",BB15+V15+1,IF(OR(الحضور!$M17="W",الحضور!$M17="PH"),BB15,0)))</f>
        <v>0</v>
      </c>
      <c r="BD15" s="84">
        <f>IF($B15="",0,IF(الحضور!$N17="A",BC15+W15+1,IF(OR(الحضور!$N17="W",الحضور!$N17="PH"),BC15,0)))</f>
        <v>0</v>
      </c>
      <c r="BE15" s="84">
        <f>IF($B15="",0,IF(الحضور!$O17="A",BD15+X15+1,IF(OR(الحضور!$O17="W",الحضور!$O17="PH"),BD15,0)))</f>
        <v>0</v>
      </c>
      <c r="BF15" s="84">
        <f>IF($B15="",0,IF(الحضور!$P17="A",BE15+Y15+1,IF(OR(الحضور!$P17="W",الحضور!$P17="PH"),BE15,0)))</f>
        <v>0</v>
      </c>
      <c r="BG15" s="84">
        <f>IF($B15="",0,IF(الحضور!$Q17="A",BF15+Z15+1,IF(OR(الحضور!$Q17="W",الحضور!$Q17="PH"),BF15,0)))</f>
        <v>0</v>
      </c>
      <c r="BH15" s="84">
        <f>IF($B15="",0,IF(الحضور!$R17="A",BG15+AA15+1,IF(OR(الحضور!$R17="W",الحضور!$R17="PH"),BG15,0)))</f>
        <v>0</v>
      </c>
      <c r="BI15" s="84">
        <f>IF($B15="",0,IF(الحضور!$S17="A",BH15+AB15+1,IF(OR(الحضور!$S17="W",الحضور!$S17="PH"),BH15,0)))</f>
        <v>0</v>
      </c>
      <c r="BJ15" s="84">
        <f>IF($B15="",0,IF(الحضور!$T17="A",BI15+AC15+1,IF(OR(الحضور!$T17="W",الحضور!$T17="PH"),BI15,0)))</f>
        <v>0</v>
      </c>
      <c r="BK15" s="84">
        <f>IF($B15="",0,IF(الحضور!$U17="A",BJ15+AD15+1,IF(OR(الحضور!$U17="W",الحضور!$U17="PH"),BJ15,0)))</f>
        <v>0</v>
      </c>
      <c r="BL15" s="84">
        <f>IF($B15="",0,IF(الحضور!$V17="A",BK15+AE15+1,IF(OR(الحضور!$V17="W",الحضور!$V17="PH"),BK15,0)))</f>
        <v>0</v>
      </c>
      <c r="BM15" s="84">
        <f>IF($B15="",0,IF(الحضور!$W17="A",BL15+AF15+1,IF(OR(الحضور!$W17="W",الحضور!$W17="PH"),BL15,0)))</f>
        <v>0</v>
      </c>
      <c r="BN15" s="84">
        <f>IF($B15="",0,IF(الحضور!$X17="A",BM15+AG15+1,IF(OR(الحضور!$X17="W",الحضور!$X17="PH"),BM15,0)))</f>
        <v>0</v>
      </c>
      <c r="BO15" s="84">
        <f>IF($B15="",0,IF(الحضور!$Y17="A",BN15+AH15+1,IF(OR(الحضور!$Y17="W",الحضور!$Y17="PH"),BN15,0)))</f>
        <v>0</v>
      </c>
      <c r="BP15" s="84">
        <f>IF($B15="",0,IF(الحضور!$Z17="A",BO15+AI15+1,IF(OR(الحضور!$Z17="W",الحضور!$Z17="PH"),BO15,0)))</f>
        <v>0</v>
      </c>
      <c r="BQ15" s="84">
        <f>IF($B15="",0,IF(الحضور!$AA17="A",BP15+AJ15+1,IF(OR(الحضور!$AA17="W",الحضور!$AA17="PH"),BP15,0)))</f>
        <v>0</v>
      </c>
      <c r="BR15" s="84">
        <f>IF($B15="",0,IF(الحضور!$AB17="A",BQ15+AK15+1,IF(OR(الحضور!$AB17="W",الحضور!$AB17="PH"),BQ15,0)))</f>
        <v>0</v>
      </c>
      <c r="BS15" s="84">
        <f>IF($B15="",0,IF(الحضور!$AC17="A",BR15+AL15+1,IF(OR(الحضور!$AC17="W",الحضور!$AC17="PH"),BR15,0)))</f>
        <v>0</v>
      </c>
      <c r="BT15" s="84">
        <f>IF($B15="",0,IF(الحضور!$AD17="A",BS15+AM15+1,IF(OR(الحضور!$AD17="W",الحضور!$AD17="PH"),BS15,0)))</f>
        <v>0</v>
      </c>
      <c r="BU15" s="84">
        <f>IF($B15="",0,IF(الحضور!$AE17="A",BT15+AN15+1,IF(OR(الحضور!$AE17="W",الحضور!$AE17="PH"),BT15,0)))</f>
        <v>0</v>
      </c>
      <c r="BV15" s="84">
        <f>IF($B15="",0,IF(الحضور!$AF17="A",BU15+AO15+1,IF(OR(الحضور!$AF17="W",الحضور!$AF17="PH"),BU15,0)))</f>
        <v>0</v>
      </c>
      <c r="BW15" s="84">
        <f>IF($B15="",0,IF(الحضور!$AG17="A",BV15+AP15+1,IF(OR(الحضور!$AG17="W",الحضور!$AG17="PH"),BV15,0)))</f>
        <v>0</v>
      </c>
      <c r="BX15" s="84">
        <f>IF($B15="",0,IF(الحضور!$AH17="A",BW15+AQ15+1,IF(OR(الحضور!$AH17="W",الحضور!$AH17="PH"),BW15,0)))</f>
        <v>0</v>
      </c>
      <c r="BY15" s="84">
        <f>IF($B15="",0,IF(الحضور!$AI17="A",BX15+AR15+1,IF(OR(الحضور!$AI17="W",الحضور!$AI17="PH"),BX15,0)))</f>
        <v>0</v>
      </c>
      <c r="BZ15" s="84">
        <f>IF($B15="",0,IF(الحضور!$AJ17="A",BY15+AS15+1,IF(OR(الحضور!$AJ17="W",الحضور!$AJ17="PH"),BY15,0)))</f>
        <v>0</v>
      </c>
      <c r="CA15" s="84">
        <f>IF($B15="",0,IF(الحضور!$AK17="A",BZ15+AT15+1,IF(OR(الحضور!$AK17="W",الحضور!$AK17="PH"),BZ15,0)))</f>
        <v>0</v>
      </c>
      <c r="CB15" s="84">
        <f>IF($B15="",0,IF(الحضور!$AL17="A",CA15+AU15+1,IF(OR(الحضور!$AL17="W",الحضور!$AL17="PH"),CA15,0)))</f>
        <v>0</v>
      </c>
      <c r="CC15" s="84">
        <f>IF($B15="",0,IF(الحضور!$AM17="A",CB15+AV15+1,IF(OR(الحضور!$AM17="W",الحضور!$AM17="PH"),CB15,0)))</f>
        <v>0</v>
      </c>
      <c r="CD15" s="84">
        <f>IF($B15="",0,IF(الحضور!$AN17="A",CC15+AW15+1,IF(OR(الحضور!$AN17="W",الحضور!$AN17="PH"),CC15,0)))</f>
        <v>0</v>
      </c>
      <c r="CE15" s="84">
        <f>IF($B15="",0,IF(الحضور!$AO17="A",CD15+AX15+1,IF(OR(الحضور!$AO17="W",الحضور!$AO17="PH"),CD15,0)))</f>
        <v>0</v>
      </c>
      <c r="CF15" s="84">
        <f>IF($B15="",0,IF(الحضور!$AP17="A",CE15+AY15+1,IF(OR(الحضور!$AP17="W",الحضور!$AP17="PH"),CE15,0)))</f>
        <v>0</v>
      </c>
    </row>
    <row r="16" spans="1:84" ht="16.5" customHeight="1" x14ac:dyDescent="0.35">
      <c r="A16" s="18">
        <v>11</v>
      </c>
      <c r="B16" s="62" t="str">
        <f>IF(الموظفون!$B16="","",الموظفون!$B16)</f>
        <v>EMP-011</v>
      </c>
      <c r="C16" s="61" t="str">
        <f>IF($B16="","",الموظفون!$C16)</f>
        <v>هبة رمضان عبد الحميد</v>
      </c>
      <c r="D16" s="32"/>
      <c r="E16" s="32"/>
      <c r="F16" s="32"/>
      <c r="G16" s="32"/>
      <c r="H16" s="32"/>
      <c r="I16" s="32"/>
      <c r="J16" s="32"/>
      <c r="K16" s="32"/>
      <c r="L16" s="32"/>
      <c r="M16" s="32"/>
      <c r="N16" s="32"/>
      <c r="O16" s="32"/>
      <c r="P16" s="34">
        <f>IF($B16="","",SUM($D16:$O16)+IF(INDEX($D16:$O16,1,الإعدادات!$C$13)="",$Q16,0))</f>
        <v>0</v>
      </c>
      <c r="Q16" s="51">
        <f>IF($B16="","",الحضور!$G18)</f>
        <v>0</v>
      </c>
      <c r="R16" s="34">
        <f t="shared" si="0"/>
        <v>0</v>
      </c>
      <c r="S16" s="32"/>
      <c r="T16" s="61" t="str">
        <f>IF($B16="","",IF(OR($R16&gt;الإعدادات!$C$36,$S16&gt;الإعدادات!$C$36),"تجاوز حد الإنهاء — غياب متصل",IF($P16&gt;الإعدادات!$C$37,"تجاوز حد الإنهاء — غياب متقطع",IF(OR($R16&gt;=الإعدادات!$C$34,$S16&gt;=الإعدادات!$C$34),"إنذار كتابي واجب — غياب متصل",IF($P16&gt;=الإعدادات!$C$35,"إنذار كتابي واجب — غياب متقطع","سليم")))))</f>
        <v>سليم</v>
      </c>
      <c r="V16" s="84">
        <f>IF($B16="",0,IF(OR(الحضور!$L18="W",الحضور!$L18="PH"),0+1,0))</f>
        <v>1</v>
      </c>
      <c r="W16" s="84">
        <f>IF($B16="",0,IF(OR(الحضور!$M18="W",الحضور!$M18="PH"),V16+1,0))</f>
        <v>0</v>
      </c>
      <c r="X16" s="84">
        <f>IF($B16="",0,IF(OR(الحضور!$N18="W",الحضور!$N18="PH"),W16+1,0))</f>
        <v>0</v>
      </c>
      <c r="Y16" s="84">
        <f>IF($B16="",0,IF(OR(الحضور!$O18="W",الحضور!$O18="PH"),X16+1,0))</f>
        <v>0</v>
      </c>
      <c r="Z16" s="84">
        <f>IF($B16="",0,IF(OR(الحضور!$P18="W",الحضور!$P18="PH"),Y16+1,0))</f>
        <v>0</v>
      </c>
      <c r="AA16" s="84">
        <f>IF($B16="",0,IF(OR(الحضور!$Q18="W",الحضور!$Q18="PH"),Z16+1,0))</f>
        <v>0</v>
      </c>
      <c r="AB16" s="84">
        <f>IF($B16="",0,IF(OR(الحضور!$R18="W",الحضور!$R18="PH"),AA16+1,0))</f>
        <v>1</v>
      </c>
      <c r="AC16" s="84">
        <f>IF($B16="",0,IF(OR(الحضور!$S18="W",الحضور!$S18="PH"),AB16+1,0))</f>
        <v>2</v>
      </c>
      <c r="AD16" s="84">
        <f>IF($B16="",0,IF(OR(الحضور!$T18="W",الحضور!$T18="PH"),AC16+1,0))</f>
        <v>0</v>
      </c>
      <c r="AE16" s="84">
        <f>IF($B16="",0,IF(OR(الحضور!$U18="W",الحضور!$U18="PH"),AD16+1,0))</f>
        <v>0</v>
      </c>
      <c r="AF16" s="84">
        <f>IF($B16="",0,IF(OR(الحضور!$V18="W",الحضور!$V18="PH"),AE16+1,0))</f>
        <v>0</v>
      </c>
      <c r="AG16" s="84">
        <f>IF($B16="",0,IF(OR(الحضور!$W18="W",الحضور!$W18="PH"),AF16+1,0))</f>
        <v>0</v>
      </c>
      <c r="AH16" s="84">
        <f>IF($B16="",0,IF(OR(الحضور!$X18="W",الحضور!$X18="PH"),AG16+1,0))</f>
        <v>0</v>
      </c>
      <c r="AI16" s="84">
        <f>IF($B16="",0,IF(OR(الحضور!$Y18="W",الحضور!$Y18="PH"),AH16+1,0))</f>
        <v>1</v>
      </c>
      <c r="AJ16" s="84">
        <f>IF($B16="",0,IF(OR(الحضور!$Z18="W",الحضور!$Z18="PH"),AI16+1,0))</f>
        <v>2</v>
      </c>
      <c r="AK16" s="84">
        <f>IF($B16="",0,IF(OR(الحضور!$AA18="W",الحضور!$AA18="PH"),AJ16+1,0))</f>
        <v>0</v>
      </c>
      <c r="AL16" s="84">
        <f>IF($B16="",0,IF(OR(الحضور!$AB18="W",الحضور!$AB18="PH"),AK16+1,0))</f>
        <v>0</v>
      </c>
      <c r="AM16" s="84">
        <f>IF($B16="",0,IF(OR(الحضور!$AC18="W",الحضور!$AC18="PH"),AL16+1,0))</f>
        <v>0</v>
      </c>
      <c r="AN16" s="84">
        <f>IF($B16="",0,IF(OR(الحضور!$AD18="W",الحضور!$AD18="PH"),AM16+1,0))</f>
        <v>0</v>
      </c>
      <c r="AO16" s="84">
        <f>IF($B16="",0,IF(OR(الحضور!$AE18="W",الحضور!$AE18="PH"),AN16+1,0))</f>
        <v>0</v>
      </c>
      <c r="AP16" s="84">
        <f>IF($B16="",0,IF(OR(الحضور!$AF18="W",الحضور!$AF18="PH"),AO16+1,0))</f>
        <v>1</v>
      </c>
      <c r="AQ16" s="84">
        <f>IF($B16="",0,IF(OR(الحضور!$AG18="W",الحضور!$AG18="PH"),AP16+1,0))</f>
        <v>2</v>
      </c>
      <c r="AR16" s="84">
        <f>IF($B16="",0,IF(OR(الحضور!$AH18="W",الحضور!$AH18="PH"),AQ16+1,0))</f>
        <v>0</v>
      </c>
      <c r="AS16" s="84">
        <f>IF($B16="",0,IF(OR(الحضور!$AI18="W",الحضور!$AI18="PH"),AR16+1,0))</f>
        <v>0</v>
      </c>
      <c r="AT16" s="84">
        <f>IF($B16="",0,IF(OR(الحضور!$AJ18="W",الحضور!$AJ18="PH"),AS16+1,0))</f>
        <v>0</v>
      </c>
      <c r="AU16" s="84">
        <f>IF($B16="",0,IF(OR(الحضور!$AK18="W",الحضور!$AK18="PH"),AT16+1,0))</f>
        <v>0</v>
      </c>
      <c r="AV16" s="84">
        <f>IF($B16="",0,IF(OR(الحضور!$AL18="W",الحضور!$AL18="PH"),AU16+1,0))</f>
        <v>0</v>
      </c>
      <c r="AW16" s="84">
        <f>IF($B16="",0,IF(OR(الحضور!$AM18="W",الحضور!$AM18="PH"),AV16+1,0))</f>
        <v>1</v>
      </c>
      <c r="AX16" s="84">
        <f>IF($B16="",0,IF(OR(الحضور!$AN18="W",الحضور!$AN18="PH"),AW16+1,0))</f>
        <v>2</v>
      </c>
      <c r="AY16" s="84">
        <f>IF($B16="",0,IF(OR(الحضور!$AO18="W",الحضور!$AO18="PH"),AX16+1,0))</f>
        <v>0</v>
      </c>
      <c r="AZ16" s="84">
        <f>IF($B16="",0,IF(OR(الحضور!$AP18="W",الحضور!$AP18="PH"),AY16+1,0))</f>
        <v>0</v>
      </c>
      <c r="BB16" s="84">
        <f>IF($B16="",0,IF(الحضور!$L18="A",0+0+1,IF(OR(الحضور!$L18="W",الحضور!$L18="PH"),0,0)))</f>
        <v>0</v>
      </c>
      <c r="BC16" s="84">
        <f>IF($B16="",0,IF(الحضور!$M18="A",BB16+V16+1,IF(OR(الحضور!$M18="W",الحضور!$M18="PH"),BB16,0)))</f>
        <v>0</v>
      </c>
      <c r="BD16" s="84">
        <f>IF($B16="",0,IF(الحضور!$N18="A",BC16+W16+1,IF(OR(الحضور!$N18="W",الحضور!$N18="PH"),BC16,0)))</f>
        <v>0</v>
      </c>
      <c r="BE16" s="84">
        <f>IF($B16="",0,IF(الحضور!$O18="A",BD16+X16+1,IF(OR(الحضور!$O18="W",الحضور!$O18="PH"),BD16,0)))</f>
        <v>0</v>
      </c>
      <c r="BF16" s="84">
        <f>IF($B16="",0,IF(الحضور!$P18="A",BE16+Y16+1,IF(OR(الحضور!$P18="W",الحضور!$P18="PH"),BE16,0)))</f>
        <v>0</v>
      </c>
      <c r="BG16" s="84">
        <f>IF($B16="",0,IF(الحضور!$Q18="A",BF16+Z16+1,IF(OR(الحضور!$Q18="W",الحضور!$Q18="PH"),BF16,0)))</f>
        <v>0</v>
      </c>
      <c r="BH16" s="84">
        <f>IF($B16="",0,IF(الحضور!$R18="A",BG16+AA16+1,IF(OR(الحضور!$R18="W",الحضور!$R18="PH"),BG16,0)))</f>
        <v>0</v>
      </c>
      <c r="BI16" s="84">
        <f>IF($B16="",0,IF(الحضور!$S18="A",BH16+AB16+1,IF(OR(الحضور!$S18="W",الحضور!$S18="PH"),BH16,0)))</f>
        <v>0</v>
      </c>
      <c r="BJ16" s="84">
        <f>IF($B16="",0,IF(الحضور!$T18="A",BI16+AC16+1,IF(OR(الحضور!$T18="W",الحضور!$T18="PH"),BI16,0)))</f>
        <v>0</v>
      </c>
      <c r="BK16" s="84">
        <f>IF($B16="",0,IF(الحضور!$U18="A",BJ16+AD16+1,IF(OR(الحضور!$U18="W",الحضور!$U18="PH"),BJ16,0)))</f>
        <v>0</v>
      </c>
      <c r="BL16" s="84">
        <f>IF($B16="",0,IF(الحضور!$V18="A",BK16+AE16+1,IF(OR(الحضور!$V18="W",الحضور!$V18="PH"),BK16,0)))</f>
        <v>0</v>
      </c>
      <c r="BM16" s="84">
        <f>IF($B16="",0,IF(الحضور!$W18="A",BL16+AF16+1,IF(OR(الحضور!$W18="W",الحضور!$W18="PH"),BL16,0)))</f>
        <v>0</v>
      </c>
      <c r="BN16" s="84">
        <f>IF($B16="",0,IF(الحضور!$X18="A",BM16+AG16+1,IF(OR(الحضور!$X18="W",الحضور!$X18="PH"),BM16,0)))</f>
        <v>0</v>
      </c>
      <c r="BO16" s="84">
        <f>IF($B16="",0,IF(الحضور!$Y18="A",BN16+AH16+1,IF(OR(الحضور!$Y18="W",الحضور!$Y18="PH"),BN16,0)))</f>
        <v>0</v>
      </c>
      <c r="BP16" s="84">
        <f>IF($B16="",0,IF(الحضور!$Z18="A",BO16+AI16+1,IF(OR(الحضور!$Z18="W",الحضور!$Z18="PH"),BO16,0)))</f>
        <v>0</v>
      </c>
      <c r="BQ16" s="84">
        <f>IF($B16="",0,IF(الحضور!$AA18="A",BP16+AJ16+1,IF(OR(الحضور!$AA18="W",الحضور!$AA18="PH"),BP16,0)))</f>
        <v>0</v>
      </c>
      <c r="BR16" s="84">
        <f>IF($B16="",0,IF(الحضور!$AB18="A",BQ16+AK16+1,IF(OR(الحضور!$AB18="W",الحضور!$AB18="PH"),BQ16,0)))</f>
        <v>0</v>
      </c>
      <c r="BS16" s="84">
        <f>IF($B16="",0,IF(الحضور!$AC18="A",BR16+AL16+1,IF(OR(الحضور!$AC18="W",الحضور!$AC18="PH"),BR16,0)))</f>
        <v>0</v>
      </c>
      <c r="BT16" s="84">
        <f>IF($B16="",0,IF(الحضور!$AD18="A",BS16+AM16+1,IF(OR(الحضور!$AD18="W",الحضور!$AD18="PH"),BS16,0)))</f>
        <v>0</v>
      </c>
      <c r="BU16" s="84">
        <f>IF($B16="",0,IF(الحضور!$AE18="A",BT16+AN16+1,IF(OR(الحضور!$AE18="W",الحضور!$AE18="PH"),BT16,0)))</f>
        <v>0</v>
      </c>
      <c r="BV16" s="84">
        <f>IF($B16="",0,IF(الحضور!$AF18="A",BU16+AO16+1,IF(OR(الحضور!$AF18="W",الحضور!$AF18="PH"),BU16,0)))</f>
        <v>0</v>
      </c>
      <c r="BW16" s="84">
        <f>IF($B16="",0,IF(الحضور!$AG18="A",BV16+AP16+1,IF(OR(الحضور!$AG18="W",الحضور!$AG18="PH"),BV16,0)))</f>
        <v>0</v>
      </c>
      <c r="BX16" s="84">
        <f>IF($B16="",0,IF(الحضور!$AH18="A",BW16+AQ16+1,IF(OR(الحضور!$AH18="W",الحضور!$AH18="PH"),BW16,0)))</f>
        <v>0</v>
      </c>
      <c r="BY16" s="84">
        <f>IF($B16="",0,IF(الحضور!$AI18="A",BX16+AR16+1,IF(OR(الحضور!$AI18="W",الحضور!$AI18="PH"),BX16,0)))</f>
        <v>0</v>
      </c>
      <c r="BZ16" s="84">
        <f>IF($B16="",0,IF(الحضور!$AJ18="A",BY16+AS16+1,IF(OR(الحضور!$AJ18="W",الحضور!$AJ18="PH"),BY16,0)))</f>
        <v>0</v>
      </c>
      <c r="CA16" s="84">
        <f>IF($B16="",0,IF(الحضور!$AK18="A",BZ16+AT16+1,IF(OR(الحضور!$AK18="W",الحضور!$AK18="PH"),BZ16,0)))</f>
        <v>0</v>
      </c>
      <c r="CB16" s="84">
        <f>IF($B16="",0,IF(الحضور!$AL18="A",CA16+AU16+1,IF(OR(الحضور!$AL18="W",الحضور!$AL18="PH"),CA16,0)))</f>
        <v>0</v>
      </c>
      <c r="CC16" s="84">
        <f>IF($B16="",0,IF(الحضور!$AM18="A",CB16+AV16+1,IF(OR(الحضور!$AM18="W",الحضور!$AM18="PH"),CB16,0)))</f>
        <v>0</v>
      </c>
      <c r="CD16" s="84">
        <f>IF($B16="",0,IF(الحضور!$AN18="A",CC16+AW16+1,IF(OR(الحضور!$AN18="W",الحضور!$AN18="PH"),CC16,0)))</f>
        <v>0</v>
      </c>
      <c r="CE16" s="84">
        <f>IF($B16="",0,IF(الحضور!$AO18="A",CD16+AX16+1,IF(OR(الحضور!$AO18="W",الحضور!$AO18="PH"),CD16,0)))</f>
        <v>0</v>
      </c>
      <c r="CF16" s="84">
        <f>IF($B16="",0,IF(الحضور!$AP18="A",CE16+AY16+1,IF(OR(الحضور!$AP18="W",الحضور!$AP18="PH"),CE16,0)))</f>
        <v>0</v>
      </c>
    </row>
    <row r="17" spans="1:84" ht="16.5" customHeight="1" x14ac:dyDescent="0.35">
      <c r="A17" s="18">
        <v>12</v>
      </c>
      <c r="B17" s="62" t="str">
        <f>IF(الموظفون!$B17="","",الموظفون!$B17)</f>
        <v>EMP-012</v>
      </c>
      <c r="C17" s="61" t="str">
        <f>IF($B17="","",الموظفون!$C17)</f>
        <v>نورة العمري</v>
      </c>
      <c r="D17" s="32"/>
      <c r="E17" s="32"/>
      <c r="F17" s="32"/>
      <c r="G17" s="32"/>
      <c r="H17" s="32"/>
      <c r="I17" s="32"/>
      <c r="J17" s="32"/>
      <c r="K17" s="32"/>
      <c r="L17" s="32"/>
      <c r="M17" s="32"/>
      <c r="N17" s="32"/>
      <c r="O17" s="32"/>
      <c r="P17" s="34">
        <f>IF($B17="","",SUM($D17:$O17)+IF(INDEX($D17:$O17,1,الإعدادات!$C$13)="",$Q17,0))</f>
        <v>1</v>
      </c>
      <c r="Q17" s="51">
        <f>IF($B17="","",الحضور!$G19)</f>
        <v>1</v>
      </c>
      <c r="R17" s="34">
        <f t="shared" si="0"/>
        <v>1</v>
      </c>
      <c r="S17" s="32"/>
      <c r="T17" s="61" t="str">
        <f>IF($B17="","",IF(OR($R17&gt;الإعدادات!$C$36,$S17&gt;الإعدادات!$C$36),"تجاوز حد الإنهاء — غياب متصل",IF($P17&gt;الإعدادات!$C$37,"تجاوز حد الإنهاء — غياب متقطع",IF(OR($R17&gt;=الإعدادات!$C$34,$S17&gt;=الإعدادات!$C$34),"إنذار كتابي واجب — غياب متصل",IF($P17&gt;=الإعدادات!$C$35,"إنذار كتابي واجب — غياب متقطع","سليم")))))</f>
        <v>سليم</v>
      </c>
      <c r="V17" s="84">
        <f>IF($B17="",0,IF(OR(الحضور!$L19="W",الحضور!$L19="PH"),0+1,0))</f>
        <v>1</v>
      </c>
      <c r="W17" s="84">
        <f>IF($B17="",0,IF(OR(الحضور!$M19="W",الحضور!$M19="PH"),V17+1,0))</f>
        <v>0</v>
      </c>
      <c r="X17" s="84">
        <f>IF($B17="",0,IF(OR(الحضور!$N19="W",الحضور!$N19="PH"),W17+1,0))</f>
        <v>0</v>
      </c>
      <c r="Y17" s="84">
        <f>IF($B17="",0,IF(OR(الحضور!$O19="W",الحضور!$O19="PH"),X17+1,0))</f>
        <v>0</v>
      </c>
      <c r="Z17" s="84">
        <f>IF($B17="",0,IF(OR(الحضور!$P19="W",الحضور!$P19="PH"),Y17+1,0))</f>
        <v>0</v>
      </c>
      <c r="AA17" s="84">
        <f>IF($B17="",0,IF(OR(الحضور!$Q19="W",الحضور!$Q19="PH"),Z17+1,0))</f>
        <v>0</v>
      </c>
      <c r="AB17" s="84">
        <f>IF($B17="",0,IF(OR(الحضور!$R19="W",الحضور!$R19="PH"),AA17+1,0))</f>
        <v>1</v>
      </c>
      <c r="AC17" s="84">
        <f>IF($B17="",0,IF(OR(الحضور!$S19="W",الحضور!$S19="PH"),AB17+1,0))</f>
        <v>2</v>
      </c>
      <c r="AD17" s="84">
        <f>IF($B17="",0,IF(OR(الحضور!$T19="W",الحضور!$T19="PH"),AC17+1,0))</f>
        <v>0</v>
      </c>
      <c r="AE17" s="84">
        <f>IF($B17="",0,IF(OR(الحضور!$U19="W",الحضور!$U19="PH"),AD17+1,0))</f>
        <v>0</v>
      </c>
      <c r="AF17" s="84">
        <f>IF($B17="",0,IF(OR(الحضور!$V19="W",الحضور!$V19="PH"),AE17+1,0))</f>
        <v>0</v>
      </c>
      <c r="AG17" s="84">
        <f>IF($B17="",0,IF(OR(الحضور!$W19="W",الحضور!$W19="PH"),AF17+1,0))</f>
        <v>0</v>
      </c>
      <c r="AH17" s="84">
        <f>IF($B17="",0,IF(OR(الحضور!$X19="W",الحضور!$X19="PH"),AG17+1,0))</f>
        <v>0</v>
      </c>
      <c r="AI17" s="84">
        <f>IF($B17="",0,IF(OR(الحضور!$Y19="W",الحضور!$Y19="PH"),AH17+1,0))</f>
        <v>1</v>
      </c>
      <c r="AJ17" s="84">
        <f>IF($B17="",0,IF(OR(الحضور!$Z19="W",الحضور!$Z19="PH"),AI17+1,0))</f>
        <v>2</v>
      </c>
      <c r="AK17" s="84">
        <f>IF($B17="",0,IF(OR(الحضور!$AA19="W",الحضور!$AA19="PH"),AJ17+1,0))</f>
        <v>0</v>
      </c>
      <c r="AL17" s="84">
        <f>IF($B17="",0,IF(OR(الحضور!$AB19="W",الحضور!$AB19="PH"),AK17+1,0))</f>
        <v>0</v>
      </c>
      <c r="AM17" s="84">
        <f>IF($B17="",0,IF(OR(الحضور!$AC19="W",الحضور!$AC19="PH"),AL17+1,0))</f>
        <v>0</v>
      </c>
      <c r="AN17" s="84">
        <f>IF($B17="",0,IF(OR(الحضور!$AD19="W",الحضور!$AD19="PH"),AM17+1,0))</f>
        <v>0</v>
      </c>
      <c r="AO17" s="84">
        <f>IF($B17="",0,IF(OR(الحضور!$AE19="W",الحضور!$AE19="PH"),AN17+1,0))</f>
        <v>0</v>
      </c>
      <c r="AP17" s="84">
        <f>IF($B17="",0,IF(OR(الحضور!$AF19="W",الحضور!$AF19="PH"),AO17+1,0))</f>
        <v>1</v>
      </c>
      <c r="AQ17" s="84">
        <f>IF($B17="",0,IF(OR(الحضور!$AG19="W",الحضور!$AG19="PH"),AP17+1,0))</f>
        <v>2</v>
      </c>
      <c r="AR17" s="84">
        <f>IF($B17="",0,IF(OR(الحضور!$AH19="W",الحضور!$AH19="PH"),AQ17+1,0))</f>
        <v>0</v>
      </c>
      <c r="AS17" s="84">
        <f>IF($B17="",0,IF(OR(الحضور!$AI19="W",الحضور!$AI19="PH"),AR17+1,0))</f>
        <v>0</v>
      </c>
      <c r="AT17" s="84">
        <f>IF($B17="",0,IF(OR(الحضور!$AJ19="W",الحضور!$AJ19="PH"),AS17+1,0))</f>
        <v>0</v>
      </c>
      <c r="AU17" s="84">
        <f>IF($B17="",0,IF(OR(الحضور!$AK19="W",الحضور!$AK19="PH"),AT17+1,0))</f>
        <v>0</v>
      </c>
      <c r="AV17" s="84">
        <f>IF($B17="",0,IF(OR(الحضور!$AL19="W",الحضور!$AL19="PH"),AU17+1,0))</f>
        <v>0</v>
      </c>
      <c r="AW17" s="84">
        <f>IF($B17="",0,IF(OR(الحضور!$AM19="W",الحضور!$AM19="PH"),AV17+1,0))</f>
        <v>1</v>
      </c>
      <c r="AX17" s="84">
        <f>IF($B17="",0,IF(OR(الحضور!$AN19="W",الحضور!$AN19="PH"),AW17+1,0))</f>
        <v>2</v>
      </c>
      <c r="AY17" s="84">
        <f>IF($B17="",0,IF(OR(الحضور!$AO19="W",الحضور!$AO19="PH"),AX17+1,0))</f>
        <v>0</v>
      </c>
      <c r="AZ17" s="84">
        <f>IF($B17="",0,IF(OR(الحضور!$AP19="W",الحضور!$AP19="PH"),AY17+1,0))</f>
        <v>0</v>
      </c>
      <c r="BB17" s="84">
        <f>IF($B17="",0,IF(الحضور!$L19="A",0+0+1,IF(OR(الحضور!$L19="W",الحضور!$L19="PH"),0,0)))</f>
        <v>0</v>
      </c>
      <c r="BC17" s="84">
        <f>IF($B17="",0,IF(الحضور!$M19="A",BB17+V17+1,IF(OR(الحضور!$M19="W",الحضور!$M19="PH"),BB17,0)))</f>
        <v>0</v>
      </c>
      <c r="BD17" s="84">
        <f>IF($B17="",0,IF(الحضور!$N19="A",BC17+W17+1,IF(OR(الحضور!$N19="W",الحضور!$N19="PH"),BC17,0)))</f>
        <v>0</v>
      </c>
      <c r="BE17" s="84">
        <f>IF($B17="",0,IF(الحضور!$O19="A",BD17+X17+1,IF(OR(الحضور!$O19="W",الحضور!$O19="PH"),BD17,0)))</f>
        <v>1</v>
      </c>
      <c r="BF17" s="84">
        <f>IF($B17="",0,IF(الحضور!$P19="A",BE17+Y17+1,IF(OR(الحضور!$P19="W",الحضور!$P19="PH"),BE17,0)))</f>
        <v>0</v>
      </c>
      <c r="BG17" s="84">
        <f>IF($B17="",0,IF(الحضور!$Q19="A",BF17+Z17+1,IF(OR(الحضور!$Q19="W",الحضور!$Q19="PH"),BF17,0)))</f>
        <v>0</v>
      </c>
      <c r="BH17" s="84">
        <f>IF($B17="",0,IF(الحضور!$R19="A",BG17+AA17+1,IF(OR(الحضور!$R19="W",الحضور!$R19="PH"),BG17,0)))</f>
        <v>0</v>
      </c>
      <c r="BI17" s="84">
        <f>IF($B17="",0,IF(الحضور!$S19="A",BH17+AB17+1,IF(OR(الحضور!$S19="W",الحضور!$S19="PH"),BH17,0)))</f>
        <v>0</v>
      </c>
      <c r="BJ17" s="84">
        <f>IF($B17="",0,IF(الحضور!$T19="A",BI17+AC17+1,IF(OR(الحضور!$T19="W",الحضور!$T19="PH"),BI17,0)))</f>
        <v>0</v>
      </c>
      <c r="BK17" s="84">
        <f>IF($B17="",0,IF(الحضور!$U19="A",BJ17+AD17+1,IF(OR(الحضور!$U19="W",الحضور!$U19="PH"),BJ17,0)))</f>
        <v>0</v>
      </c>
      <c r="BL17" s="84">
        <f>IF($B17="",0,IF(الحضور!$V19="A",BK17+AE17+1,IF(OR(الحضور!$V19="W",الحضور!$V19="PH"),BK17,0)))</f>
        <v>0</v>
      </c>
      <c r="BM17" s="84">
        <f>IF($B17="",0,IF(الحضور!$W19="A",BL17+AF17+1,IF(OR(الحضور!$W19="W",الحضور!$W19="PH"),BL17,0)))</f>
        <v>0</v>
      </c>
      <c r="BN17" s="84">
        <f>IF($B17="",0,IF(الحضور!$X19="A",BM17+AG17+1,IF(OR(الحضور!$X19="W",الحضور!$X19="PH"),BM17,0)))</f>
        <v>0</v>
      </c>
      <c r="BO17" s="84">
        <f>IF($B17="",0,IF(الحضور!$Y19="A",BN17+AH17+1,IF(OR(الحضور!$Y19="W",الحضور!$Y19="PH"),BN17,0)))</f>
        <v>0</v>
      </c>
      <c r="BP17" s="84">
        <f>IF($B17="",0,IF(الحضور!$Z19="A",BO17+AI17+1,IF(OR(الحضور!$Z19="W",الحضور!$Z19="PH"),BO17,0)))</f>
        <v>0</v>
      </c>
      <c r="BQ17" s="84">
        <f>IF($B17="",0,IF(الحضور!$AA19="A",BP17+AJ17+1,IF(OR(الحضور!$AA19="W",الحضور!$AA19="PH"),BP17,0)))</f>
        <v>0</v>
      </c>
      <c r="BR17" s="84">
        <f>IF($B17="",0,IF(الحضور!$AB19="A",BQ17+AK17+1,IF(OR(الحضور!$AB19="W",الحضور!$AB19="PH"),BQ17,0)))</f>
        <v>0</v>
      </c>
      <c r="BS17" s="84">
        <f>IF($B17="",0,IF(الحضور!$AC19="A",BR17+AL17+1,IF(OR(الحضور!$AC19="W",الحضور!$AC19="PH"),BR17,0)))</f>
        <v>0</v>
      </c>
      <c r="BT17" s="84">
        <f>IF($B17="",0,IF(الحضور!$AD19="A",BS17+AM17+1,IF(OR(الحضور!$AD19="W",الحضور!$AD19="PH"),BS17,0)))</f>
        <v>0</v>
      </c>
      <c r="BU17" s="84">
        <f>IF($B17="",0,IF(الحضور!$AE19="A",BT17+AN17+1,IF(OR(الحضور!$AE19="W",الحضور!$AE19="PH"),BT17,0)))</f>
        <v>0</v>
      </c>
      <c r="BV17" s="84">
        <f>IF($B17="",0,IF(الحضور!$AF19="A",BU17+AO17+1,IF(OR(الحضور!$AF19="W",الحضور!$AF19="PH"),BU17,0)))</f>
        <v>0</v>
      </c>
      <c r="BW17" s="84">
        <f>IF($B17="",0,IF(الحضور!$AG19="A",BV17+AP17+1,IF(OR(الحضور!$AG19="W",الحضور!$AG19="PH"),BV17,0)))</f>
        <v>0</v>
      </c>
      <c r="BX17" s="84">
        <f>IF($B17="",0,IF(الحضور!$AH19="A",BW17+AQ17+1,IF(OR(الحضور!$AH19="W",الحضور!$AH19="PH"),BW17,0)))</f>
        <v>0</v>
      </c>
      <c r="BY17" s="84">
        <f>IF($B17="",0,IF(الحضور!$AI19="A",BX17+AR17+1,IF(OR(الحضور!$AI19="W",الحضور!$AI19="PH"),BX17,0)))</f>
        <v>0</v>
      </c>
      <c r="BZ17" s="84">
        <f>IF($B17="",0,IF(الحضور!$AJ19="A",BY17+AS17+1,IF(OR(الحضور!$AJ19="W",الحضور!$AJ19="PH"),BY17,0)))</f>
        <v>0</v>
      </c>
      <c r="CA17" s="84">
        <f>IF($B17="",0,IF(الحضور!$AK19="A",BZ17+AT17+1,IF(OR(الحضور!$AK19="W",الحضور!$AK19="PH"),BZ17,0)))</f>
        <v>0</v>
      </c>
      <c r="CB17" s="84">
        <f>IF($B17="",0,IF(الحضور!$AL19="A",CA17+AU17+1,IF(OR(الحضور!$AL19="W",الحضور!$AL19="PH"),CA17,0)))</f>
        <v>0</v>
      </c>
      <c r="CC17" s="84">
        <f>IF($B17="",0,IF(الحضور!$AM19="A",CB17+AV17+1,IF(OR(الحضور!$AM19="W",الحضور!$AM19="PH"),CB17,0)))</f>
        <v>0</v>
      </c>
      <c r="CD17" s="84">
        <f>IF($B17="",0,IF(الحضور!$AN19="A",CC17+AW17+1,IF(OR(الحضور!$AN19="W",الحضور!$AN19="PH"),CC17,0)))</f>
        <v>0</v>
      </c>
      <c r="CE17" s="84">
        <f>IF($B17="",0,IF(الحضور!$AO19="A",CD17+AX17+1,IF(OR(الحضور!$AO19="W",الحضور!$AO19="PH"),CD17,0)))</f>
        <v>0</v>
      </c>
      <c r="CF17" s="84">
        <f>IF($B17="",0,IF(الحضور!$AP19="A",CE17+AY17+1,IF(OR(الحضور!$AP19="W",الحضور!$AP19="PH"),CE17,0)))</f>
        <v>0</v>
      </c>
    </row>
    <row r="18" spans="1:84" ht="16.5" customHeight="1" x14ac:dyDescent="0.35">
      <c r="A18" s="18">
        <v>13</v>
      </c>
      <c r="B18" s="62" t="str">
        <f>IF(الموظفون!$B18="","",الموظفون!$B18)</f>
        <v>EMP-013</v>
      </c>
      <c r="C18" s="61" t="str">
        <f>IF($B18="","",الموظفون!$C18)</f>
        <v>داليا فؤاد الشناوي</v>
      </c>
      <c r="D18" s="32"/>
      <c r="E18" s="32"/>
      <c r="F18" s="32"/>
      <c r="G18" s="32"/>
      <c r="H18" s="32"/>
      <c r="I18" s="32"/>
      <c r="J18" s="32"/>
      <c r="K18" s="32"/>
      <c r="L18" s="32"/>
      <c r="M18" s="32"/>
      <c r="N18" s="32"/>
      <c r="O18" s="32"/>
      <c r="P18" s="34">
        <f>IF($B18="","",SUM($D18:$O18)+IF(INDEX($D18:$O18,1,الإعدادات!$C$13)="",$Q18,0))</f>
        <v>0</v>
      </c>
      <c r="Q18" s="51">
        <f>IF($B18="","",الحضور!$G20)</f>
        <v>0</v>
      </c>
      <c r="R18" s="34">
        <f t="shared" si="0"/>
        <v>0</v>
      </c>
      <c r="S18" s="32"/>
      <c r="T18" s="61" t="str">
        <f>IF($B18="","",IF(OR($R18&gt;الإعدادات!$C$36,$S18&gt;الإعدادات!$C$36),"تجاوز حد الإنهاء — غياب متصل",IF($P18&gt;الإعدادات!$C$37,"تجاوز حد الإنهاء — غياب متقطع",IF(OR($R18&gt;=الإعدادات!$C$34,$S18&gt;=الإعدادات!$C$34),"إنذار كتابي واجب — غياب متصل",IF($P18&gt;=الإعدادات!$C$35,"إنذار كتابي واجب — غياب متقطع","سليم")))))</f>
        <v>سليم</v>
      </c>
      <c r="V18" s="84">
        <f>IF($B18="",0,IF(OR(الحضور!$L20="W",الحضور!$L20="PH"),0+1,0))</f>
        <v>1</v>
      </c>
      <c r="W18" s="84">
        <f>IF($B18="",0,IF(OR(الحضور!$M20="W",الحضور!$M20="PH"),V18+1,0))</f>
        <v>0</v>
      </c>
      <c r="X18" s="84">
        <f>IF($B18="",0,IF(OR(الحضور!$N20="W",الحضور!$N20="PH"),W18+1,0))</f>
        <v>0</v>
      </c>
      <c r="Y18" s="84">
        <f>IF($B18="",0,IF(OR(الحضور!$O20="W",الحضور!$O20="PH"),X18+1,0))</f>
        <v>0</v>
      </c>
      <c r="Z18" s="84">
        <f>IF($B18="",0,IF(OR(الحضور!$P20="W",الحضور!$P20="PH"),Y18+1,0))</f>
        <v>0</v>
      </c>
      <c r="AA18" s="84">
        <f>IF($B18="",0,IF(OR(الحضور!$Q20="W",الحضور!$Q20="PH"),Z18+1,0))</f>
        <v>0</v>
      </c>
      <c r="AB18" s="84">
        <f>IF($B18="",0,IF(OR(الحضور!$R20="W",الحضور!$R20="PH"),AA18+1,0))</f>
        <v>1</v>
      </c>
      <c r="AC18" s="84">
        <f>IF($B18="",0,IF(OR(الحضور!$S20="W",الحضور!$S20="PH"),AB18+1,0))</f>
        <v>2</v>
      </c>
      <c r="AD18" s="84">
        <f>IF($B18="",0,IF(OR(الحضور!$T20="W",الحضور!$T20="PH"),AC18+1,0))</f>
        <v>0</v>
      </c>
      <c r="AE18" s="84">
        <f>IF($B18="",0,IF(OR(الحضور!$U20="W",الحضور!$U20="PH"),AD18+1,0))</f>
        <v>0</v>
      </c>
      <c r="AF18" s="84">
        <f>IF($B18="",0,IF(OR(الحضور!$V20="W",الحضور!$V20="PH"),AE18+1,0))</f>
        <v>0</v>
      </c>
      <c r="AG18" s="84">
        <f>IF($B18="",0,IF(OR(الحضور!$W20="W",الحضور!$W20="PH"),AF18+1,0))</f>
        <v>0</v>
      </c>
      <c r="AH18" s="84">
        <f>IF($B18="",0,IF(OR(الحضور!$X20="W",الحضور!$X20="PH"),AG18+1,0))</f>
        <v>0</v>
      </c>
      <c r="AI18" s="84">
        <f>IF($B18="",0,IF(OR(الحضور!$Y20="W",الحضور!$Y20="PH"),AH18+1,0))</f>
        <v>1</v>
      </c>
      <c r="AJ18" s="84">
        <f>IF($B18="",0,IF(OR(الحضور!$Z20="W",الحضور!$Z20="PH"),AI18+1,0))</f>
        <v>2</v>
      </c>
      <c r="AK18" s="84">
        <f>IF($B18="",0,IF(OR(الحضور!$AA20="W",الحضور!$AA20="PH"),AJ18+1,0))</f>
        <v>0</v>
      </c>
      <c r="AL18" s="84">
        <f>IF($B18="",0,IF(OR(الحضور!$AB20="W",الحضور!$AB20="PH"),AK18+1,0))</f>
        <v>0</v>
      </c>
      <c r="AM18" s="84">
        <f>IF($B18="",0,IF(OR(الحضور!$AC20="W",الحضور!$AC20="PH"),AL18+1,0))</f>
        <v>0</v>
      </c>
      <c r="AN18" s="84">
        <f>IF($B18="",0,IF(OR(الحضور!$AD20="W",الحضور!$AD20="PH"),AM18+1,0))</f>
        <v>0</v>
      </c>
      <c r="AO18" s="84">
        <f>IF($B18="",0,IF(OR(الحضور!$AE20="W",الحضور!$AE20="PH"),AN18+1,0))</f>
        <v>0</v>
      </c>
      <c r="AP18" s="84">
        <f>IF($B18="",0,IF(OR(الحضور!$AF20="W",الحضور!$AF20="PH"),AO18+1,0))</f>
        <v>1</v>
      </c>
      <c r="AQ18" s="84">
        <f>IF($B18="",0,IF(OR(الحضور!$AG20="W",الحضور!$AG20="PH"),AP18+1,0))</f>
        <v>2</v>
      </c>
      <c r="AR18" s="84">
        <f>IF($B18="",0,IF(OR(الحضور!$AH20="W",الحضور!$AH20="PH"),AQ18+1,0))</f>
        <v>0</v>
      </c>
      <c r="AS18" s="84">
        <f>IF($B18="",0,IF(OR(الحضور!$AI20="W",الحضور!$AI20="PH"),AR18+1,0))</f>
        <v>0</v>
      </c>
      <c r="AT18" s="84">
        <f>IF($B18="",0,IF(OR(الحضور!$AJ20="W",الحضور!$AJ20="PH"),AS18+1,0))</f>
        <v>0</v>
      </c>
      <c r="AU18" s="84">
        <f>IF($B18="",0,IF(OR(الحضور!$AK20="W",الحضور!$AK20="PH"),AT18+1,0))</f>
        <v>0</v>
      </c>
      <c r="AV18" s="84">
        <f>IF($B18="",0,IF(OR(الحضور!$AL20="W",الحضور!$AL20="PH"),AU18+1,0))</f>
        <v>0</v>
      </c>
      <c r="AW18" s="84">
        <f>IF($B18="",0,IF(OR(الحضور!$AM20="W",الحضور!$AM20="PH"),AV18+1,0))</f>
        <v>1</v>
      </c>
      <c r="AX18" s="84">
        <f>IF($B18="",0,IF(OR(الحضور!$AN20="W",الحضور!$AN20="PH"),AW18+1,0))</f>
        <v>2</v>
      </c>
      <c r="AY18" s="84">
        <f>IF($B18="",0,IF(OR(الحضور!$AO20="W",الحضور!$AO20="PH"),AX18+1,0))</f>
        <v>0</v>
      </c>
      <c r="AZ18" s="84">
        <f>IF($B18="",0,IF(OR(الحضور!$AP20="W",الحضور!$AP20="PH"),AY18+1,0))</f>
        <v>0</v>
      </c>
      <c r="BB18" s="84">
        <f>IF($B18="",0,IF(الحضور!$L20="A",0+0+1,IF(OR(الحضور!$L20="W",الحضور!$L20="PH"),0,0)))</f>
        <v>0</v>
      </c>
      <c r="BC18" s="84">
        <f>IF($B18="",0,IF(الحضور!$M20="A",BB18+V18+1,IF(OR(الحضور!$M20="W",الحضور!$M20="PH"),BB18,0)))</f>
        <v>0</v>
      </c>
      <c r="BD18" s="84">
        <f>IF($B18="",0,IF(الحضور!$N20="A",BC18+W18+1,IF(OR(الحضور!$N20="W",الحضور!$N20="PH"),BC18,0)))</f>
        <v>0</v>
      </c>
      <c r="BE18" s="84">
        <f>IF($B18="",0,IF(الحضور!$O20="A",BD18+X18+1,IF(OR(الحضور!$O20="W",الحضور!$O20="PH"),BD18,0)))</f>
        <v>0</v>
      </c>
      <c r="BF18" s="84">
        <f>IF($B18="",0,IF(الحضور!$P20="A",BE18+Y18+1,IF(OR(الحضور!$P20="W",الحضور!$P20="PH"),BE18,0)))</f>
        <v>0</v>
      </c>
      <c r="BG18" s="84">
        <f>IF($B18="",0,IF(الحضور!$Q20="A",BF18+Z18+1,IF(OR(الحضور!$Q20="W",الحضور!$Q20="PH"),BF18,0)))</f>
        <v>0</v>
      </c>
      <c r="BH18" s="84">
        <f>IF($B18="",0,IF(الحضور!$R20="A",BG18+AA18+1,IF(OR(الحضور!$R20="W",الحضور!$R20="PH"),BG18,0)))</f>
        <v>0</v>
      </c>
      <c r="BI18" s="84">
        <f>IF($B18="",0,IF(الحضور!$S20="A",BH18+AB18+1,IF(OR(الحضور!$S20="W",الحضور!$S20="PH"),BH18,0)))</f>
        <v>0</v>
      </c>
      <c r="BJ18" s="84">
        <f>IF($B18="",0,IF(الحضور!$T20="A",BI18+AC18+1,IF(OR(الحضور!$T20="W",الحضور!$T20="PH"),BI18,0)))</f>
        <v>0</v>
      </c>
      <c r="BK18" s="84">
        <f>IF($B18="",0,IF(الحضور!$U20="A",BJ18+AD18+1,IF(OR(الحضور!$U20="W",الحضور!$U20="PH"),BJ18,0)))</f>
        <v>0</v>
      </c>
      <c r="BL18" s="84">
        <f>IF($B18="",0,IF(الحضور!$V20="A",BK18+AE18+1,IF(OR(الحضور!$V20="W",الحضور!$V20="PH"),BK18,0)))</f>
        <v>0</v>
      </c>
      <c r="BM18" s="84">
        <f>IF($B18="",0,IF(الحضور!$W20="A",BL18+AF18+1,IF(OR(الحضور!$W20="W",الحضور!$W20="PH"),BL18,0)))</f>
        <v>0</v>
      </c>
      <c r="BN18" s="84">
        <f>IF($B18="",0,IF(الحضور!$X20="A",BM18+AG18+1,IF(OR(الحضور!$X20="W",الحضور!$X20="PH"),BM18,0)))</f>
        <v>0</v>
      </c>
      <c r="BO18" s="84">
        <f>IF($B18="",0,IF(الحضور!$Y20="A",BN18+AH18+1,IF(OR(الحضور!$Y20="W",الحضور!$Y20="PH"),BN18,0)))</f>
        <v>0</v>
      </c>
      <c r="BP18" s="84">
        <f>IF($B18="",0,IF(الحضور!$Z20="A",BO18+AI18+1,IF(OR(الحضور!$Z20="W",الحضور!$Z20="PH"),BO18,0)))</f>
        <v>0</v>
      </c>
      <c r="BQ18" s="84">
        <f>IF($B18="",0,IF(الحضور!$AA20="A",BP18+AJ18+1,IF(OR(الحضور!$AA20="W",الحضور!$AA20="PH"),BP18,0)))</f>
        <v>0</v>
      </c>
      <c r="BR18" s="84">
        <f>IF($B18="",0,IF(الحضور!$AB20="A",BQ18+AK18+1,IF(OR(الحضور!$AB20="W",الحضور!$AB20="PH"),BQ18,0)))</f>
        <v>0</v>
      </c>
      <c r="BS18" s="84">
        <f>IF($B18="",0,IF(الحضور!$AC20="A",BR18+AL18+1,IF(OR(الحضور!$AC20="W",الحضور!$AC20="PH"),BR18,0)))</f>
        <v>0</v>
      </c>
      <c r="BT18" s="84">
        <f>IF($B18="",0,IF(الحضور!$AD20="A",BS18+AM18+1,IF(OR(الحضور!$AD20="W",الحضور!$AD20="PH"),BS18,0)))</f>
        <v>0</v>
      </c>
      <c r="BU18" s="84">
        <f>IF($B18="",0,IF(الحضور!$AE20="A",BT18+AN18+1,IF(OR(الحضور!$AE20="W",الحضور!$AE20="PH"),BT18,0)))</f>
        <v>0</v>
      </c>
      <c r="BV18" s="84">
        <f>IF($B18="",0,IF(الحضور!$AF20="A",BU18+AO18+1,IF(OR(الحضور!$AF20="W",الحضور!$AF20="PH"),BU18,0)))</f>
        <v>0</v>
      </c>
      <c r="BW18" s="84">
        <f>IF($B18="",0,IF(الحضور!$AG20="A",BV18+AP18+1,IF(OR(الحضور!$AG20="W",الحضور!$AG20="PH"),BV18,0)))</f>
        <v>0</v>
      </c>
      <c r="BX18" s="84">
        <f>IF($B18="",0,IF(الحضور!$AH20="A",BW18+AQ18+1,IF(OR(الحضور!$AH20="W",الحضور!$AH20="PH"),BW18,0)))</f>
        <v>0</v>
      </c>
      <c r="BY18" s="84">
        <f>IF($B18="",0,IF(الحضور!$AI20="A",BX18+AR18+1,IF(OR(الحضور!$AI20="W",الحضور!$AI20="PH"),BX18,0)))</f>
        <v>0</v>
      </c>
      <c r="BZ18" s="84">
        <f>IF($B18="",0,IF(الحضور!$AJ20="A",BY18+AS18+1,IF(OR(الحضور!$AJ20="W",الحضور!$AJ20="PH"),BY18,0)))</f>
        <v>0</v>
      </c>
      <c r="CA18" s="84">
        <f>IF($B18="",0,IF(الحضور!$AK20="A",BZ18+AT18+1,IF(OR(الحضور!$AK20="W",الحضور!$AK20="PH"),BZ18,0)))</f>
        <v>0</v>
      </c>
      <c r="CB18" s="84">
        <f>IF($B18="",0,IF(الحضور!$AL20="A",CA18+AU18+1,IF(OR(الحضور!$AL20="W",الحضور!$AL20="PH"),CA18,0)))</f>
        <v>0</v>
      </c>
      <c r="CC18" s="84">
        <f>IF($B18="",0,IF(الحضور!$AM20="A",CB18+AV18+1,IF(OR(الحضور!$AM20="W",الحضور!$AM20="PH"),CB18,0)))</f>
        <v>0</v>
      </c>
      <c r="CD18" s="84">
        <f>IF($B18="",0,IF(الحضور!$AN20="A",CC18+AW18+1,IF(OR(الحضور!$AN20="W",الحضور!$AN20="PH"),CC18,0)))</f>
        <v>0</v>
      </c>
      <c r="CE18" s="84">
        <f>IF($B18="",0,IF(الحضور!$AO20="A",CD18+AX18+1,IF(OR(الحضور!$AO20="W",الحضور!$AO20="PH"),CD18,0)))</f>
        <v>0</v>
      </c>
      <c r="CF18" s="84">
        <f>IF($B18="",0,IF(الحضور!$AP20="A",CE18+AY18+1,IF(OR(الحضور!$AP20="W",الحضور!$AP20="PH"),CE18,0)))</f>
        <v>0</v>
      </c>
    </row>
    <row r="19" spans="1:84" ht="16.5" customHeight="1" x14ac:dyDescent="0.35">
      <c r="A19" s="18">
        <v>14</v>
      </c>
      <c r="B19" s="62" t="str">
        <f>IF(الموظفون!$B19="","",الموظفون!$B19)</f>
        <v>EMP-014</v>
      </c>
      <c r="C19" s="61" t="str">
        <f>IF($B19="","",الموظفون!$C19)</f>
        <v>لطيفة الشهري</v>
      </c>
      <c r="D19" s="32"/>
      <c r="E19" s="32"/>
      <c r="F19" s="32"/>
      <c r="G19" s="32"/>
      <c r="H19" s="32"/>
      <c r="I19" s="32"/>
      <c r="J19" s="32"/>
      <c r="K19" s="32"/>
      <c r="L19" s="32"/>
      <c r="M19" s="32"/>
      <c r="N19" s="32"/>
      <c r="O19" s="32"/>
      <c r="P19" s="34">
        <f>IF($B19="","",SUM($D19:$O19)+IF(INDEX($D19:$O19,1,الإعدادات!$C$13)="",$Q19,0))</f>
        <v>0</v>
      </c>
      <c r="Q19" s="51">
        <f>IF($B19="","",الحضور!$G21)</f>
        <v>0</v>
      </c>
      <c r="R19" s="34">
        <f t="shared" si="0"/>
        <v>0</v>
      </c>
      <c r="S19" s="32"/>
      <c r="T19" s="61" t="str">
        <f>IF($B19="","",IF(OR($R19&gt;الإعدادات!$C$36,$S19&gt;الإعدادات!$C$36),"تجاوز حد الإنهاء — غياب متصل",IF($P19&gt;الإعدادات!$C$37,"تجاوز حد الإنهاء — غياب متقطع",IF(OR($R19&gt;=الإعدادات!$C$34,$S19&gt;=الإعدادات!$C$34),"إنذار كتابي واجب — غياب متصل",IF($P19&gt;=الإعدادات!$C$35,"إنذار كتابي واجب — غياب متقطع","سليم")))))</f>
        <v>سليم</v>
      </c>
      <c r="V19" s="84">
        <f>IF($B19="",0,IF(OR(الحضور!$L21="W",الحضور!$L21="PH"),0+1,0))</f>
        <v>1</v>
      </c>
      <c r="W19" s="84">
        <f>IF($B19="",0,IF(OR(الحضور!$M21="W",الحضور!$M21="PH"),V19+1,0))</f>
        <v>0</v>
      </c>
      <c r="X19" s="84">
        <f>IF($B19="",0,IF(OR(الحضور!$N21="W",الحضور!$N21="PH"),W19+1,0))</f>
        <v>0</v>
      </c>
      <c r="Y19" s="84">
        <f>IF($B19="",0,IF(OR(الحضور!$O21="W",الحضور!$O21="PH"),X19+1,0))</f>
        <v>0</v>
      </c>
      <c r="Z19" s="84">
        <f>IF($B19="",0,IF(OR(الحضور!$P21="W",الحضور!$P21="PH"),Y19+1,0))</f>
        <v>0</v>
      </c>
      <c r="AA19" s="84">
        <f>IF($B19="",0,IF(OR(الحضور!$Q21="W",الحضور!$Q21="PH"),Z19+1,0))</f>
        <v>0</v>
      </c>
      <c r="AB19" s="84">
        <f>IF($B19="",0,IF(OR(الحضور!$R21="W",الحضور!$R21="PH"),AA19+1,0))</f>
        <v>1</v>
      </c>
      <c r="AC19" s="84">
        <f>IF($B19="",0,IF(OR(الحضور!$S21="W",الحضور!$S21="PH"),AB19+1,0))</f>
        <v>2</v>
      </c>
      <c r="AD19" s="84">
        <f>IF($B19="",0,IF(OR(الحضور!$T21="W",الحضور!$T21="PH"),AC19+1,0))</f>
        <v>0</v>
      </c>
      <c r="AE19" s="84">
        <f>IF($B19="",0,IF(OR(الحضور!$U21="W",الحضور!$U21="PH"),AD19+1,0))</f>
        <v>0</v>
      </c>
      <c r="AF19" s="84">
        <f>IF($B19="",0,IF(OR(الحضور!$V21="W",الحضور!$V21="PH"),AE19+1,0))</f>
        <v>0</v>
      </c>
      <c r="AG19" s="84">
        <f>IF($B19="",0,IF(OR(الحضور!$W21="W",الحضور!$W21="PH"),AF19+1,0))</f>
        <v>0</v>
      </c>
      <c r="AH19" s="84">
        <f>IF($B19="",0,IF(OR(الحضور!$X21="W",الحضور!$X21="PH"),AG19+1,0))</f>
        <v>0</v>
      </c>
      <c r="AI19" s="84">
        <f>IF($B19="",0,IF(OR(الحضور!$Y21="W",الحضور!$Y21="PH"),AH19+1,0))</f>
        <v>1</v>
      </c>
      <c r="AJ19" s="84">
        <f>IF($B19="",0,IF(OR(الحضور!$Z21="W",الحضور!$Z21="PH"),AI19+1,0))</f>
        <v>2</v>
      </c>
      <c r="AK19" s="84">
        <f>IF($B19="",0,IF(OR(الحضور!$AA21="W",الحضور!$AA21="PH"),AJ19+1,0))</f>
        <v>0</v>
      </c>
      <c r="AL19" s="84">
        <f>IF($B19="",0,IF(OR(الحضور!$AB21="W",الحضور!$AB21="PH"),AK19+1,0))</f>
        <v>0</v>
      </c>
      <c r="AM19" s="84">
        <f>IF($B19="",0,IF(OR(الحضور!$AC21="W",الحضور!$AC21="PH"),AL19+1,0))</f>
        <v>0</v>
      </c>
      <c r="AN19" s="84">
        <f>IF($B19="",0,IF(OR(الحضور!$AD21="W",الحضور!$AD21="PH"),AM19+1,0))</f>
        <v>0</v>
      </c>
      <c r="AO19" s="84">
        <f>IF($B19="",0,IF(OR(الحضور!$AE21="W",الحضور!$AE21="PH"),AN19+1,0))</f>
        <v>0</v>
      </c>
      <c r="AP19" s="84">
        <f>IF($B19="",0,IF(OR(الحضور!$AF21="W",الحضور!$AF21="PH"),AO19+1,0))</f>
        <v>1</v>
      </c>
      <c r="AQ19" s="84">
        <f>IF($B19="",0,IF(OR(الحضور!$AG21="W",الحضور!$AG21="PH"),AP19+1,0))</f>
        <v>2</v>
      </c>
      <c r="AR19" s="84">
        <f>IF($B19="",0,IF(OR(الحضور!$AH21="W",الحضور!$AH21="PH"),AQ19+1,0))</f>
        <v>0</v>
      </c>
      <c r="AS19" s="84">
        <f>IF($B19="",0,IF(OR(الحضور!$AI21="W",الحضور!$AI21="PH"),AR19+1,0))</f>
        <v>0</v>
      </c>
      <c r="AT19" s="84">
        <f>IF($B19="",0,IF(OR(الحضور!$AJ21="W",الحضور!$AJ21="PH"),AS19+1,0))</f>
        <v>0</v>
      </c>
      <c r="AU19" s="84">
        <f>IF($B19="",0,IF(OR(الحضور!$AK21="W",الحضور!$AK21="PH"),AT19+1,0))</f>
        <v>0</v>
      </c>
      <c r="AV19" s="84">
        <f>IF($B19="",0,IF(OR(الحضور!$AL21="W",الحضور!$AL21="PH"),AU19+1,0))</f>
        <v>0</v>
      </c>
      <c r="AW19" s="84">
        <f>IF($B19="",0,IF(OR(الحضور!$AM21="W",الحضور!$AM21="PH"),AV19+1,0))</f>
        <v>1</v>
      </c>
      <c r="AX19" s="84">
        <f>IF($B19="",0,IF(OR(الحضور!$AN21="W",الحضور!$AN21="PH"),AW19+1,0))</f>
        <v>2</v>
      </c>
      <c r="AY19" s="84">
        <f>IF($B19="",0,IF(OR(الحضور!$AO21="W",الحضور!$AO21="PH"),AX19+1,0))</f>
        <v>0</v>
      </c>
      <c r="AZ19" s="84">
        <f>IF($B19="",0,IF(OR(الحضور!$AP21="W",الحضور!$AP21="PH"),AY19+1,0))</f>
        <v>0</v>
      </c>
      <c r="BB19" s="84">
        <f>IF($B19="",0,IF(الحضور!$L21="A",0+0+1,IF(OR(الحضور!$L21="W",الحضور!$L21="PH"),0,0)))</f>
        <v>0</v>
      </c>
      <c r="BC19" s="84">
        <f>IF($B19="",0,IF(الحضور!$M21="A",BB19+V19+1,IF(OR(الحضور!$M21="W",الحضور!$M21="PH"),BB19,0)))</f>
        <v>0</v>
      </c>
      <c r="BD19" s="84">
        <f>IF($B19="",0,IF(الحضور!$N21="A",BC19+W19+1,IF(OR(الحضور!$N21="W",الحضور!$N21="PH"),BC19,0)))</f>
        <v>0</v>
      </c>
      <c r="BE19" s="84">
        <f>IF($B19="",0,IF(الحضور!$O21="A",BD19+X19+1,IF(OR(الحضور!$O21="W",الحضور!$O21="PH"),BD19,0)))</f>
        <v>0</v>
      </c>
      <c r="BF19" s="84">
        <f>IF($B19="",0,IF(الحضور!$P21="A",BE19+Y19+1,IF(OR(الحضور!$P21="W",الحضور!$P21="PH"),BE19,0)))</f>
        <v>0</v>
      </c>
      <c r="BG19" s="84">
        <f>IF($B19="",0,IF(الحضور!$Q21="A",BF19+Z19+1,IF(OR(الحضور!$Q21="W",الحضور!$Q21="PH"),BF19,0)))</f>
        <v>0</v>
      </c>
      <c r="BH19" s="84">
        <f>IF($B19="",0,IF(الحضور!$R21="A",BG19+AA19+1,IF(OR(الحضور!$R21="W",الحضور!$R21="PH"),BG19,0)))</f>
        <v>0</v>
      </c>
      <c r="BI19" s="84">
        <f>IF($B19="",0,IF(الحضور!$S21="A",BH19+AB19+1,IF(OR(الحضور!$S21="W",الحضور!$S21="PH"),BH19,0)))</f>
        <v>0</v>
      </c>
      <c r="BJ19" s="84">
        <f>IF($B19="",0,IF(الحضور!$T21="A",BI19+AC19+1,IF(OR(الحضور!$T21="W",الحضور!$T21="PH"),BI19,0)))</f>
        <v>0</v>
      </c>
      <c r="BK19" s="84">
        <f>IF($B19="",0,IF(الحضور!$U21="A",BJ19+AD19+1,IF(OR(الحضور!$U21="W",الحضور!$U21="PH"),BJ19,0)))</f>
        <v>0</v>
      </c>
      <c r="BL19" s="84">
        <f>IF($B19="",0,IF(الحضور!$V21="A",BK19+AE19+1,IF(OR(الحضور!$V21="W",الحضور!$V21="PH"),BK19,0)))</f>
        <v>0</v>
      </c>
      <c r="BM19" s="84">
        <f>IF($B19="",0,IF(الحضور!$W21="A",BL19+AF19+1,IF(OR(الحضور!$W21="W",الحضور!$W21="PH"),BL19,0)))</f>
        <v>0</v>
      </c>
      <c r="BN19" s="84">
        <f>IF($B19="",0,IF(الحضور!$X21="A",BM19+AG19+1,IF(OR(الحضور!$X21="W",الحضور!$X21="PH"),BM19,0)))</f>
        <v>0</v>
      </c>
      <c r="BO19" s="84">
        <f>IF($B19="",0,IF(الحضور!$Y21="A",BN19+AH19+1,IF(OR(الحضور!$Y21="W",الحضور!$Y21="PH"),BN19,0)))</f>
        <v>0</v>
      </c>
      <c r="BP19" s="84">
        <f>IF($B19="",0,IF(الحضور!$Z21="A",BO19+AI19+1,IF(OR(الحضور!$Z21="W",الحضور!$Z21="PH"),BO19,0)))</f>
        <v>0</v>
      </c>
      <c r="BQ19" s="84">
        <f>IF($B19="",0,IF(الحضور!$AA21="A",BP19+AJ19+1,IF(OR(الحضور!$AA21="W",الحضور!$AA21="PH"),BP19,0)))</f>
        <v>0</v>
      </c>
      <c r="BR19" s="84">
        <f>IF($B19="",0,IF(الحضور!$AB21="A",BQ19+AK19+1,IF(OR(الحضور!$AB21="W",الحضور!$AB21="PH"),BQ19,0)))</f>
        <v>0</v>
      </c>
      <c r="BS19" s="84">
        <f>IF($B19="",0,IF(الحضور!$AC21="A",BR19+AL19+1,IF(OR(الحضور!$AC21="W",الحضور!$AC21="PH"),BR19,0)))</f>
        <v>0</v>
      </c>
      <c r="BT19" s="84">
        <f>IF($B19="",0,IF(الحضور!$AD21="A",BS19+AM19+1,IF(OR(الحضور!$AD21="W",الحضور!$AD21="PH"),BS19,0)))</f>
        <v>0</v>
      </c>
      <c r="BU19" s="84">
        <f>IF($B19="",0,IF(الحضور!$AE21="A",BT19+AN19+1,IF(OR(الحضور!$AE21="W",الحضور!$AE21="PH"),BT19,0)))</f>
        <v>0</v>
      </c>
      <c r="BV19" s="84">
        <f>IF($B19="",0,IF(الحضور!$AF21="A",BU19+AO19+1,IF(OR(الحضور!$AF21="W",الحضور!$AF21="PH"),BU19,0)))</f>
        <v>0</v>
      </c>
      <c r="BW19" s="84">
        <f>IF($B19="",0,IF(الحضور!$AG21="A",BV19+AP19+1,IF(OR(الحضور!$AG21="W",الحضور!$AG21="PH"),BV19,0)))</f>
        <v>0</v>
      </c>
      <c r="BX19" s="84">
        <f>IF($B19="",0,IF(الحضور!$AH21="A",BW19+AQ19+1,IF(OR(الحضور!$AH21="W",الحضور!$AH21="PH"),BW19,0)))</f>
        <v>0</v>
      </c>
      <c r="BY19" s="84">
        <f>IF($B19="",0,IF(الحضور!$AI21="A",BX19+AR19+1,IF(OR(الحضور!$AI21="W",الحضور!$AI21="PH"),BX19,0)))</f>
        <v>0</v>
      </c>
      <c r="BZ19" s="84">
        <f>IF($B19="",0,IF(الحضور!$AJ21="A",BY19+AS19+1,IF(OR(الحضور!$AJ21="W",الحضور!$AJ21="PH"),BY19,0)))</f>
        <v>0</v>
      </c>
      <c r="CA19" s="84">
        <f>IF($B19="",0,IF(الحضور!$AK21="A",BZ19+AT19+1,IF(OR(الحضور!$AK21="W",الحضور!$AK21="PH"),BZ19,0)))</f>
        <v>0</v>
      </c>
      <c r="CB19" s="84">
        <f>IF($B19="",0,IF(الحضور!$AL21="A",CA19+AU19+1,IF(OR(الحضور!$AL21="W",الحضور!$AL21="PH"),CA19,0)))</f>
        <v>0</v>
      </c>
      <c r="CC19" s="84">
        <f>IF($B19="",0,IF(الحضور!$AM21="A",CB19+AV19+1,IF(OR(الحضور!$AM21="W",الحضور!$AM21="PH"),CB19,0)))</f>
        <v>0</v>
      </c>
      <c r="CD19" s="84">
        <f>IF($B19="",0,IF(الحضور!$AN21="A",CC19+AW19+1,IF(OR(الحضور!$AN21="W",الحضور!$AN21="PH"),CC19,0)))</f>
        <v>0</v>
      </c>
      <c r="CE19" s="84">
        <f>IF($B19="",0,IF(الحضور!$AO21="A",CD19+AX19+1,IF(OR(الحضور!$AO21="W",الحضور!$AO21="PH"),CD19,0)))</f>
        <v>0</v>
      </c>
      <c r="CF19" s="84">
        <f>IF($B19="",0,IF(الحضور!$AP21="A",CE19+AY19+1,IF(OR(الحضور!$AP21="W",الحضور!$AP21="PH"),CE19,0)))</f>
        <v>0</v>
      </c>
    </row>
    <row r="20" spans="1:84" ht="16.5" customHeight="1" x14ac:dyDescent="0.35">
      <c r="A20" s="18">
        <v>15</v>
      </c>
      <c r="B20" s="62" t="str">
        <f>IF(الموظفون!$B20="","",الموظفون!$B20)</f>
        <v>EMP-015</v>
      </c>
      <c r="C20" s="61" t="str">
        <f>IF($B20="","",الموظفون!$C20)</f>
        <v>سارة الشريف عبد الله</v>
      </c>
      <c r="D20" s="32"/>
      <c r="E20" s="32"/>
      <c r="F20" s="32"/>
      <c r="G20" s="32"/>
      <c r="H20" s="32"/>
      <c r="I20" s="32"/>
      <c r="J20" s="32"/>
      <c r="K20" s="32"/>
      <c r="L20" s="32"/>
      <c r="M20" s="32"/>
      <c r="N20" s="32"/>
      <c r="O20" s="32"/>
      <c r="P20" s="34">
        <f>IF($B20="","",SUM($D20:$O20)+IF(INDEX($D20:$O20,1,الإعدادات!$C$13)="",$Q20,0))</f>
        <v>0</v>
      </c>
      <c r="Q20" s="51">
        <f>IF($B20="","",الحضور!$G22)</f>
        <v>0</v>
      </c>
      <c r="R20" s="34">
        <f t="shared" si="0"/>
        <v>0</v>
      </c>
      <c r="S20" s="32"/>
      <c r="T20" s="61" t="str">
        <f>IF($B20="","",IF(OR($R20&gt;الإعدادات!$C$36,$S20&gt;الإعدادات!$C$36),"تجاوز حد الإنهاء — غياب متصل",IF($P20&gt;الإعدادات!$C$37,"تجاوز حد الإنهاء — غياب متقطع",IF(OR($R20&gt;=الإعدادات!$C$34,$S20&gt;=الإعدادات!$C$34),"إنذار كتابي واجب — غياب متصل",IF($P20&gt;=الإعدادات!$C$35,"إنذار كتابي واجب — غياب متقطع","سليم")))))</f>
        <v>سليم</v>
      </c>
      <c r="V20" s="84">
        <f>IF($B20="",0,IF(OR(الحضور!$L22="W",الحضور!$L22="PH"),0+1,0))</f>
        <v>1</v>
      </c>
      <c r="W20" s="84">
        <f>IF($B20="",0,IF(OR(الحضور!$M22="W",الحضور!$M22="PH"),V20+1,0))</f>
        <v>0</v>
      </c>
      <c r="X20" s="84">
        <f>IF($B20="",0,IF(OR(الحضور!$N22="W",الحضور!$N22="PH"),W20+1,0))</f>
        <v>0</v>
      </c>
      <c r="Y20" s="84">
        <f>IF($B20="",0,IF(OR(الحضور!$O22="W",الحضور!$O22="PH"),X20+1,0))</f>
        <v>0</v>
      </c>
      <c r="Z20" s="84">
        <f>IF($B20="",0,IF(OR(الحضور!$P22="W",الحضور!$P22="PH"),Y20+1,0))</f>
        <v>0</v>
      </c>
      <c r="AA20" s="84">
        <f>IF($B20="",0,IF(OR(الحضور!$Q22="W",الحضور!$Q22="PH"),Z20+1,0))</f>
        <v>0</v>
      </c>
      <c r="AB20" s="84">
        <f>IF($B20="",0,IF(OR(الحضور!$R22="W",الحضور!$R22="PH"),AA20+1,0))</f>
        <v>1</v>
      </c>
      <c r="AC20" s="84">
        <f>IF($B20="",0,IF(OR(الحضور!$S22="W",الحضور!$S22="PH"),AB20+1,0))</f>
        <v>2</v>
      </c>
      <c r="AD20" s="84">
        <f>IF($B20="",0,IF(OR(الحضور!$T22="W",الحضور!$T22="PH"),AC20+1,0))</f>
        <v>0</v>
      </c>
      <c r="AE20" s="84">
        <f>IF($B20="",0,IF(OR(الحضور!$U22="W",الحضور!$U22="PH"),AD20+1,0))</f>
        <v>0</v>
      </c>
      <c r="AF20" s="84">
        <f>IF($B20="",0,IF(OR(الحضور!$V22="W",الحضور!$V22="PH"),AE20+1,0))</f>
        <v>0</v>
      </c>
      <c r="AG20" s="84">
        <f>IF($B20="",0,IF(OR(الحضور!$W22="W",الحضور!$W22="PH"),AF20+1,0))</f>
        <v>0</v>
      </c>
      <c r="AH20" s="84">
        <f>IF($B20="",0,IF(OR(الحضور!$X22="W",الحضور!$X22="PH"),AG20+1,0))</f>
        <v>0</v>
      </c>
      <c r="AI20" s="84">
        <f>IF($B20="",0,IF(OR(الحضور!$Y22="W",الحضور!$Y22="PH"),AH20+1,0))</f>
        <v>1</v>
      </c>
      <c r="AJ20" s="84">
        <f>IF($B20="",0,IF(OR(الحضور!$Z22="W",الحضور!$Z22="PH"),AI20+1,0))</f>
        <v>2</v>
      </c>
      <c r="AK20" s="84">
        <f>IF($B20="",0,IF(OR(الحضور!$AA22="W",الحضور!$AA22="PH"),AJ20+1,0))</f>
        <v>0</v>
      </c>
      <c r="AL20" s="84">
        <f>IF($B20="",0,IF(OR(الحضور!$AB22="W",الحضور!$AB22="PH"),AK20+1,0))</f>
        <v>0</v>
      </c>
      <c r="AM20" s="84">
        <f>IF($B20="",0,IF(OR(الحضور!$AC22="W",الحضور!$AC22="PH"),AL20+1,0))</f>
        <v>0</v>
      </c>
      <c r="AN20" s="84">
        <f>IF($B20="",0,IF(OR(الحضور!$AD22="W",الحضور!$AD22="PH"),AM20+1,0))</f>
        <v>0</v>
      </c>
      <c r="AO20" s="84">
        <f>IF($B20="",0,IF(OR(الحضور!$AE22="W",الحضور!$AE22="PH"),AN20+1,0))</f>
        <v>0</v>
      </c>
      <c r="AP20" s="84">
        <f>IF($B20="",0,IF(OR(الحضور!$AF22="W",الحضور!$AF22="PH"),AO20+1,0))</f>
        <v>1</v>
      </c>
      <c r="AQ20" s="84">
        <f>IF($B20="",0,IF(OR(الحضور!$AG22="W",الحضور!$AG22="PH"),AP20+1,0))</f>
        <v>2</v>
      </c>
      <c r="AR20" s="84">
        <f>IF($B20="",0,IF(OR(الحضور!$AH22="W",الحضور!$AH22="PH"),AQ20+1,0))</f>
        <v>0</v>
      </c>
      <c r="AS20" s="84">
        <f>IF($B20="",0,IF(OR(الحضور!$AI22="W",الحضور!$AI22="PH"),AR20+1,0))</f>
        <v>0</v>
      </c>
      <c r="AT20" s="84">
        <f>IF($B20="",0,IF(OR(الحضور!$AJ22="W",الحضور!$AJ22="PH"),AS20+1,0))</f>
        <v>0</v>
      </c>
      <c r="AU20" s="84">
        <f>IF($B20="",0,IF(OR(الحضور!$AK22="W",الحضور!$AK22="PH"),AT20+1,0))</f>
        <v>0</v>
      </c>
      <c r="AV20" s="84">
        <f>IF($B20="",0,IF(OR(الحضور!$AL22="W",الحضور!$AL22="PH"),AU20+1,0))</f>
        <v>0</v>
      </c>
      <c r="AW20" s="84">
        <f>IF($B20="",0,IF(OR(الحضور!$AM22="W",الحضور!$AM22="PH"),AV20+1,0))</f>
        <v>1</v>
      </c>
      <c r="AX20" s="84">
        <f>IF($B20="",0,IF(OR(الحضور!$AN22="W",الحضور!$AN22="PH"),AW20+1,0))</f>
        <v>2</v>
      </c>
      <c r="AY20" s="84">
        <f>IF($B20="",0,IF(OR(الحضور!$AO22="W",الحضور!$AO22="PH"),AX20+1,0))</f>
        <v>0</v>
      </c>
      <c r="AZ20" s="84">
        <f>IF($B20="",0,IF(OR(الحضور!$AP22="W",الحضور!$AP22="PH"),AY20+1,0))</f>
        <v>0</v>
      </c>
      <c r="BB20" s="84">
        <f>IF($B20="",0,IF(الحضور!$L22="A",0+0+1,IF(OR(الحضور!$L22="W",الحضور!$L22="PH"),0,0)))</f>
        <v>0</v>
      </c>
      <c r="BC20" s="84">
        <f>IF($B20="",0,IF(الحضور!$M22="A",BB20+V20+1,IF(OR(الحضور!$M22="W",الحضور!$M22="PH"),BB20,0)))</f>
        <v>0</v>
      </c>
      <c r="BD20" s="84">
        <f>IF($B20="",0,IF(الحضور!$N22="A",BC20+W20+1,IF(OR(الحضور!$N22="W",الحضور!$N22="PH"),BC20,0)))</f>
        <v>0</v>
      </c>
      <c r="BE20" s="84">
        <f>IF($B20="",0,IF(الحضور!$O22="A",BD20+X20+1,IF(OR(الحضور!$O22="W",الحضور!$O22="PH"),BD20,0)))</f>
        <v>0</v>
      </c>
      <c r="BF20" s="84">
        <f>IF($B20="",0,IF(الحضور!$P22="A",BE20+Y20+1,IF(OR(الحضور!$P22="W",الحضور!$P22="PH"),BE20,0)))</f>
        <v>0</v>
      </c>
      <c r="BG20" s="84">
        <f>IF($B20="",0,IF(الحضور!$Q22="A",BF20+Z20+1,IF(OR(الحضور!$Q22="W",الحضور!$Q22="PH"),BF20,0)))</f>
        <v>0</v>
      </c>
      <c r="BH20" s="84">
        <f>IF($B20="",0,IF(الحضور!$R22="A",BG20+AA20+1,IF(OR(الحضور!$R22="W",الحضور!$R22="PH"),BG20,0)))</f>
        <v>0</v>
      </c>
      <c r="BI20" s="84">
        <f>IF($B20="",0,IF(الحضور!$S22="A",BH20+AB20+1,IF(OR(الحضور!$S22="W",الحضور!$S22="PH"),BH20,0)))</f>
        <v>0</v>
      </c>
      <c r="BJ20" s="84">
        <f>IF($B20="",0,IF(الحضور!$T22="A",BI20+AC20+1,IF(OR(الحضور!$T22="W",الحضور!$T22="PH"),BI20,0)))</f>
        <v>0</v>
      </c>
      <c r="BK20" s="84">
        <f>IF($B20="",0,IF(الحضور!$U22="A",BJ20+AD20+1,IF(OR(الحضور!$U22="W",الحضور!$U22="PH"),BJ20,0)))</f>
        <v>0</v>
      </c>
      <c r="BL20" s="84">
        <f>IF($B20="",0,IF(الحضور!$V22="A",BK20+AE20+1,IF(OR(الحضور!$V22="W",الحضور!$V22="PH"),BK20,0)))</f>
        <v>0</v>
      </c>
      <c r="BM20" s="84">
        <f>IF($B20="",0,IF(الحضور!$W22="A",BL20+AF20+1,IF(OR(الحضور!$W22="W",الحضور!$W22="PH"),BL20,0)))</f>
        <v>0</v>
      </c>
      <c r="BN20" s="84">
        <f>IF($B20="",0,IF(الحضور!$X22="A",BM20+AG20+1,IF(OR(الحضور!$X22="W",الحضور!$X22="PH"),BM20,0)))</f>
        <v>0</v>
      </c>
      <c r="BO20" s="84">
        <f>IF($B20="",0,IF(الحضور!$Y22="A",BN20+AH20+1,IF(OR(الحضور!$Y22="W",الحضور!$Y22="PH"),BN20,0)))</f>
        <v>0</v>
      </c>
      <c r="BP20" s="84">
        <f>IF($B20="",0,IF(الحضور!$Z22="A",BO20+AI20+1,IF(OR(الحضور!$Z22="W",الحضور!$Z22="PH"),BO20,0)))</f>
        <v>0</v>
      </c>
      <c r="BQ20" s="84">
        <f>IF($B20="",0,IF(الحضور!$AA22="A",BP20+AJ20+1,IF(OR(الحضور!$AA22="W",الحضور!$AA22="PH"),BP20,0)))</f>
        <v>0</v>
      </c>
      <c r="BR20" s="84">
        <f>IF($B20="",0,IF(الحضور!$AB22="A",BQ20+AK20+1,IF(OR(الحضور!$AB22="W",الحضور!$AB22="PH"),BQ20,0)))</f>
        <v>0</v>
      </c>
      <c r="BS20" s="84">
        <f>IF($B20="",0,IF(الحضور!$AC22="A",BR20+AL20+1,IF(OR(الحضور!$AC22="W",الحضور!$AC22="PH"),BR20,0)))</f>
        <v>0</v>
      </c>
      <c r="BT20" s="84">
        <f>IF($B20="",0,IF(الحضور!$AD22="A",BS20+AM20+1,IF(OR(الحضور!$AD22="W",الحضور!$AD22="PH"),BS20,0)))</f>
        <v>0</v>
      </c>
      <c r="BU20" s="84">
        <f>IF($B20="",0,IF(الحضور!$AE22="A",BT20+AN20+1,IF(OR(الحضور!$AE22="W",الحضور!$AE22="PH"),BT20,0)))</f>
        <v>0</v>
      </c>
      <c r="BV20" s="84">
        <f>IF($B20="",0,IF(الحضور!$AF22="A",BU20+AO20+1,IF(OR(الحضور!$AF22="W",الحضور!$AF22="PH"),BU20,0)))</f>
        <v>0</v>
      </c>
      <c r="BW20" s="84">
        <f>IF($B20="",0,IF(الحضور!$AG22="A",BV20+AP20+1,IF(OR(الحضور!$AG22="W",الحضور!$AG22="PH"),BV20,0)))</f>
        <v>0</v>
      </c>
      <c r="BX20" s="84">
        <f>IF($B20="",0,IF(الحضور!$AH22="A",BW20+AQ20+1,IF(OR(الحضور!$AH22="W",الحضور!$AH22="PH"),BW20,0)))</f>
        <v>0</v>
      </c>
      <c r="BY20" s="84">
        <f>IF($B20="",0,IF(الحضور!$AI22="A",BX20+AR20+1,IF(OR(الحضور!$AI22="W",الحضور!$AI22="PH"),BX20,0)))</f>
        <v>0</v>
      </c>
      <c r="BZ20" s="84">
        <f>IF($B20="",0,IF(الحضور!$AJ22="A",BY20+AS20+1,IF(OR(الحضور!$AJ22="W",الحضور!$AJ22="PH"),BY20,0)))</f>
        <v>0</v>
      </c>
      <c r="CA20" s="84">
        <f>IF($B20="",0,IF(الحضور!$AK22="A",BZ20+AT20+1,IF(OR(الحضور!$AK22="W",الحضور!$AK22="PH"),BZ20,0)))</f>
        <v>0</v>
      </c>
      <c r="CB20" s="84">
        <f>IF($B20="",0,IF(الحضور!$AL22="A",CA20+AU20+1,IF(OR(الحضور!$AL22="W",الحضور!$AL22="PH"),CA20,0)))</f>
        <v>0</v>
      </c>
      <c r="CC20" s="84">
        <f>IF($B20="",0,IF(الحضور!$AM22="A",CB20+AV20+1,IF(OR(الحضور!$AM22="W",الحضور!$AM22="PH"),CB20,0)))</f>
        <v>0</v>
      </c>
      <c r="CD20" s="84">
        <f>IF($B20="",0,IF(الحضور!$AN22="A",CC20+AW20+1,IF(OR(الحضور!$AN22="W",الحضور!$AN22="PH"),CC20,0)))</f>
        <v>0</v>
      </c>
      <c r="CE20" s="84">
        <f>IF($B20="",0,IF(الحضور!$AO22="A",CD20+AX20+1,IF(OR(الحضور!$AO22="W",الحضور!$AO22="PH"),CD20,0)))</f>
        <v>0</v>
      </c>
      <c r="CF20" s="84">
        <f>IF($B20="",0,IF(الحضور!$AP22="A",CE20+AY20+1,IF(OR(الحضور!$AP22="W",الحضور!$AP22="PH"),CE20,0)))</f>
        <v>0</v>
      </c>
    </row>
    <row r="21" spans="1:84" ht="16.5" customHeight="1" x14ac:dyDescent="0.35">
      <c r="A21" s="18">
        <v>16</v>
      </c>
      <c r="B21" s="62" t="str">
        <f>IF(الموظفون!$B21="","",الموظفون!$B21)</f>
        <v>EMP-016</v>
      </c>
      <c r="C21" s="61" t="str">
        <f>IF($B21="","",الموظفون!$C21)</f>
        <v>ريم القحطاني</v>
      </c>
      <c r="D21" s="32"/>
      <c r="E21" s="32"/>
      <c r="F21" s="32"/>
      <c r="G21" s="32"/>
      <c r="H21" s="32"/>
      <c r="I21" s="32"/>
      <c r="J21" s="32"/>
      <c r="K21" s="32"/>
      <c r="L21" s="32"/>
      <c r="M21" s="32"/>
      <c r="N21" s="32"/>
      <c r="O21" s="32"/>
      <c r="P21" s="34">
        <f>IF($B21="","",SUM($D21:$O21)+IF(INDEX($D21:$O21,1,الإعدادات!$C$13)="",$Q21,0))</f>
        <v>0</v>
      </c>
      <c r="Q21" s="51">
        <f>IF($B21="","",الحضور!$G23)</f>
        <v>0</v>
      </c>
      <c r="R21" s="34">
        <f t="shared" si="0"/>
        <v>0</v>
      </c>
      <c r="S21" s="32"/>
      <c r="T21" s="61" t="str">
        <f>IF($B21="","",IF(OR($R21&gt;الإعدادات!$C$36,$S21&gt;الإعدادات!$C$36),"تجاوز حد الإنهاء — غياب متصل",IF($P21&gt;الإعدادات!$C$37,"تجاوز حد الإنهاء — غياب متقطع",IF(OR($R21&gt;=الإعدادات!$C$34,$S21&gt;=الإعدادات!$C$34),"إنذار كتابي واجب — غياب متصل",IF($P21&gt;=الإعدادات!$C$35,"إنذار كتابي واجب — غياب متقطع","سليم")))))</f>
        <v>سليم</v>
      </c>
      <c r="V21" s="84">
        <f>IF($B21="",0,IF(OR(الحضور!$L23="W",الحضور!$L23="PH"),0+1,0))</f>
        <v>1</v>
      </c>
      <c r="W21" s="84">
        <f>IF($B21="",0,IF(OR(الحضور!$M23="W",الحضور!$M23="PH"),V21+1,0))</f>
        <v>0</v>
      </c>
      <c r="X21" s="84">
        <f>IF($B21="",0,IF(OR(الحضور!$N23="W",الحضور!$N23="PH"),W21+1,0))</f>
        <v>0</v>
      </c>
      <c r="Y21" s="84">
        <f>IF($B21="",0,IF(OR(الحضور!$O23="W",الحضور!$O23="PH"),X21+1,0))</f>
        <v>0</v>
      </c>
      <c r="Z21" s="84">
        <f>IF($B21="",0,IF(OR(الحضور!$P23="W",الحضور!$P23="PH"),Y21+1,0))</f>
        <v>0</v>
      </c>
      <c r="AA21" s="84">
        <f>IF($B21="",0,IF(OR(الحضور!$Q23="W",الحضور!$Q23="PH"),Z21+1,0))</f>
        <v>0</v>
      </c>
      <c r="AB21" s="84">
        <f>IF($B21="",0,IF(OR(الحضور!$R23="W",الحضور!$R23="PH"),AA21+1,0))</f>
        <v>1</v>
      </c>
      <c r="AC21" s="84">
        <f>IF($B21="",0,IF(OR(الحضور!$S23="W",الحضور!$S23="PH"),AB21+1,0))</f>
        <v>2</v>
      </c>
      <c r="AD21" s="84">
        <f>IF($B21="",0,IF(OR(الحضور!$T23="W",الحضور!$T23="PH"),AC21+1,0))</f>
        <v>0</v>
      </c>
      <c r="AE21" s="84">
        <f>IF($B21="",0,IF(OR(الحضور!$U23="W",الحضور!$U23="PH"),AD21+1,0))</f>
        <v>0</v>
      </c>
      <c r="AF21" s="84">
        <f>IF($B21="",0,IF(OR(الحضور!$V23="W",الحضور!$V23="PH"),AE21+1,0))</f>
        <v>0</v>
      </c>
      <c r="AG21" s="84">
        <f>IF($B21="",0,IF(OR(الحضور!$W23="W",الحضور!$W23="PH"),AF21+1,0))</f>
        <v>0</v>
      </c>
      <c r="AH21" s="84">
        <f>IF($B21="",0,IF(OR(الحضور!$X23="W",الحضور!$X23="PH"),AG21+1,0))</f>
        <v>0</v>
      </c>
      <c r="AI21" s="84">
        <f>IF($B21="",0,IF(OR(الحضور!$Y23="W",الحضور!$Y23="PH"),AH21+1,0))</f>
        <v>1</v>
      </c>
      <c r="AJ21" s="84">
        <f>IF($B21="",0,IF(OR(الحضور!$Z23="W",الحضور!$Z23="PH"),AI21+1,0))</f>
        <v>2</v>
      </c>
      <c r="AK21" s="84">
        <f>IF($B21="",0,IF(OR(الحضور!$AA23="W",الحضور!$AA23="PH"),AJ21+1,0))</f>
        <v>0</v>
      </c>
      <c r="AL21" s="84">
        <f>IF($B21="",0,IF(OR(الحضور!$AB23="W",الحضور!$AB23="PH"),AK21+1,0))</f>
        <v>0</v>
      </c>
      <c r="AM21" s="84">
        <f>IF($B21="",0,IF(OR(الحضور!$AC23="W",الحضور!$AC23="PH"),AL21+1,0))</f>
        <v>0</v>
      </c>
      <c r="AN21" s="84">
        <f>IF($B21="",0,IF(OR(الحضور!$AD23="W",الحضور!$AD23="PH"),AM21+1,0))</f>
        <v>0</v>
      </c>
      <c r="AO21" s="84">
        <f>IF($B21="",0,IF(OR(الحضور!$AE23="W",الحضور!$AE23="PH"),AN21+1,0))</f>
        <v>0</v>
      </c>
      <c r="AP21" s="84">
        <f>IF($B21="",0,IF(OR(الحضور!$AF23="W",الحضور!$AF23="PH"),AO21+1,0))</f>
        <v>1</v>
      </c>
      <c r="AQ21" s="84">
        <f>IF($B21="",0,IF(OR(الحضور!$AG23="W",الحضور!$AG23="PH"),AP21+1,0))</f>
        <v>2</v>
      </c>
      <c r="AR21" s="84">
        <f>IF($B21="",0,IF(OR(الحضور!$AH23="W",الحضور!$AH23="PH"),AQ21+1,0))</f>
        <v>0</v>
      </c>
      <c r="AS21" s="84">
        <f>IF($B21="",0,IF(OR(الحضور!$AI23="W",الحضور!$AI23="PH"),AR21+1,0))</f>
        <v>0</v>
      </c>
      <c r="AT21" s="84">
        <f>IF($B21="",0,IF(OR(الحضور!$AJ23="W",الحضور!$AJ23="PH"),AS21+1,0))</f>
        <v>0</v>
      </c>
      <c r="AU21" s="84">
        <f>IF($B21="",0,IF(OR(الحضور!$AK23="W",الحضور!$AK23="PH"),AT21+1,0))</f>
        <v>0</v>
      </c>
      <c r="AV21" s="84">
        <f>IF($B21="",0,IF(OR(الحضور!$AL23="W",الحضور!$AL23="PH"),AU21+1,0))</f>
        <v>0</v>
      </c>
      <c r="AW21" s="84">
        <f>IF($B21="",0,IF(OR(الحضور!$AM23="W",الحضور!$AM23="PH"),AV21+1,0))</f>
        <v>1</v>
      </c>
      <c r="AX21" s="84">
        <f>IF($B21="",0,IF(OR(الحضور!$AN23="W",الحضور!$AN23="PH"),AW21+1,0))</f>
        <v>2</v>
      </c>
      <c r="AY21" s="84">
        <f>IF($B21="",0,IF(OR(الحضور!$AO23="W",الحضور!$AO23="PH"),AX21+1,0))</f>
        <v>0</v>
      </c>
      <c r="AZ21" s="84">
        <f>IF($B21="",0,IF(OR(الحضور!$AP23="W",الحضور!$AP23="PH"),AY21+1,0))</f>
        <v>0</v>
      </c>
      <c r="BB21" s="84">
        <f>IF($B21="",0,IF(الحضور!$L23="A",0+0+1,IF(OR(الحضور!$L23="W",الحضور!$L23="PH"),0,0)))</f>
        <v>0</v>
      </c>
      <c r="BC21" s="84">
        <f>IF($B21="",0,IF(الحضور!$M23="A",BB21+V21+1,IF(OR(الحضور!$M23="W",الحضور!$M23="PH"),BB21,0)))</f>
        <v>0</v>
      </c>
      <c r="BD21" s="84">
        <f>IF($B21="",0,IF(الحضور!$N23="A",BC21+W21+1,IF(OR(الحضور!$N23="W",الحضور!$N23="PH"),BC21,0)))</f>
        <v>0</v>
      </c>
      <c r="BE21" s="84">
        <f>IF($B21="",0,IF(الحضور!$O23="A",BD21+X21+1,IF(OR(الحضور!$O23="W",الحضور!$O23="PH"),BD21,0)))</f>
        <v>0</v>
      </c>
      <c r="BF21" s="84">
        <f>IF($B21="",0,IF(الحضور!$P23="A",BE21+Y21+1,IF(OR(الحضور!$P23="W",الحضور!$P23="PH"),BE21,0)))</f>
        <v>0</v>
      </c>
      <c r="BG21" s="84">
        <f>IF($B21="",0,IF(الحضور!$Q23="A",BF21+Z21+1,IF(OR(الحضور!$Q23="W",الحضور!$Q23="PH"),BF21,0)))</f>
        <v>0</v>
      </c>
      <c r="BH21" s="84">
        <f>IF($B21="",0,IF(الحضور!$R23="A",BG21+AA21+1,IF(OR(الحضور!$R23="W",الحضور!$R23="PH"),BG21,0)))</f>
        <v>0</v>
      </c>
      <c r="BI21" s="84">
        <f>IF($B21="",0,IF(الحضور!$S23="A",BH21+AB21+1,IF(OR(الحضور!$S23="W",الحضور!$S23="PH"),BH21,0)))</f>
        <v>0</v>
      </c>
      <c r="BJ21" s="84">
        <f>IF($B21="",0,IF(الحضور!$T23="A",BI21+AC21+1,IF(OR(الحضور!$T23="W",الحضور!$T23="PH"),BI21,0)))</f>
        <v>0</v>
      </c>
      <c r="BK21" s="84">
        <f>IF($B21="",0,IF(الحضور!$U23="A",BJ21+AD21+1,IF(OR(الحضور!$U23="W",الحضور!$U23="PH"),BJ21,0)))</f>
        <v>0</v>
      </c>
      <c r="BL21" s="84">
        <f>IF($B21="",0,IF(الحضور!$V23="A",BK21+AE21+1,IF(OR(الحضور!$V23="W",الحضور!$V23="PH"),BK21,0)))</f>
        <v>0</v>
      </c>
      <c r="BM21" s="84">
        <f>IF($B21="",0,IF(الحضور!$W23="A",BL21+AF21+1,IF(OR(الحضور!$W23="W",الحضور!$W23="PH"),BL21,0)))</f>
        <v>0</v>
      </c>
      <c r="BN21" s="84">
        <f>IF($B21="",0,IF(الحضور!$X23="A",BM21+AG21+1,IF(OR(الحضور!$X23="W",الحضور!$X23="PH"),BM21,0)))</f>
        <v>0</v>
      </c>
      <c r="BO21" s="84">
        <f>IF($B21="",0,IF(الحضور!$Y23="A",BN21+AH21+1,IF(OR(الحضور!$Y23="W",الحضور!$Y23="PH"),BN21,0)))</f>
        <v>0</v>
      </c>
      <c r="BP21" s="84">
        <f>IF($B21="",0,IF(الحضور!$Z23="A",BO21+AI21+1,IF(OR(الحضور!$Z23="W",الحضور!$Z23="PH"),BO21,0)))</f>
        <v>0</v>
      </c>
      <c r="BQ21" s="84">
        <f>IF($B21="",0,IF(الحضور!$AA23="A",BP21+AJ21+1,IF(OR(الحضور!$AA23="W",الحضور!$AA23="PH"),BP21,0)))</f>
        <v>0</v>
      </c>
      <c r="BR21" s="84">
        <f>IF($B21="",0,IF(الحضور!$AB23="A",BQ21+AK21+1,IF(OR(الحضور!$AB23="W",الحضور!$AB23="PH"),BQ21,0)))</f>
        <v>0</v>
      </c>
      <c r="BS21" s="84">
        <f>IF($B21="",0,IF(الحضور!$AC23="A",BR21+AL21+1,IF(OR(الحضور!$AC23="W",الحضور!$AC23="PH"),BR21,0)))</f>
        <v>0</v>
      </c>
      <c r="BT21" s="84">
        <f>IF($B21="",0,IF(الحضور!$AD23="A",BS21+AM21+1,IF(OR(الحضور!$AD23="W",الحضور!$AD23="PH"),BS21,0)))</f>
        <v>0</v>
      </c>
      <c r="BU21" s="84">
        <f>IF($B21="",0,IF(الحضور!$AE23="A",BT21+AN21+1,IF(OR(الحضور!$AE23="W",الحضور!$AE23="PH"),BT21,0)))</f>
        <v>0</v>
      </c>
      <c r="BV21" s="84">
        <f>IF($B21="",0,IF(الحضور!$AF23="A",BU21+AO21+1,IF(OR(الحضور!$AF23="W",الحضور!$AF23="PH"),BU21,0)))</f>
        <v>0</v>
      </c>
      <c r="BW21" s="84">
        <f>IF($B21="",0,IF(الحضور!$AG23="A",BV21+AP21+1,IF(OR(الحضور!$AG23="W",الحضور!$AG23="PH"),BV21,0)))</f>
        <v>0</v>
      </c>
      <c r="BX21" s="84">
        <f>IF($B21="",0,IF(الحضور!$AH23="A",BW21+AQ21+1,IF(OR(الحضور!$AH23="W",الحضور!$AH23="PH"),BW21,0)))</f>
        <v>0</v>
      </c>
      <c r="BY21" s="84">
        <f>IF($B21="",0,IF(الحضور!$AI23="A",BX21+AR21+1,IF(OR(الحضور!$AI23="W",الحضور!$AI23="PH"),BX21,0)))</f>
        <v>0</v>
      </c>
      <c r="BZ21" s="84">
        <f>IF($B21="",0,IF(الحضور!$AJ23="A",BY21+AS21+1,IF(OR(الحضور!$AJ23="W",الحضور!$AJ23="PH"),BY21,0)))</f>
        <v>0</v>
      </c>
      <c r="CA21" s="84">
        <f>IF($B21="",0,IF(الحضور!$AK23="A",BZ21+AT21+1,IF(OR(الحضور!$AK23="W",الحضور!$AK23="PH"),BZ21,0)))</f>
        <v>0</v>
      </c>
      <c r="CB21" s="84">
        <f>IF($B21="",0,IF(الحضور!$AL23="A",CA21+AU21+1,IF(OR(الحضور!$AL23="W",الحضور!$AL23="PH"),CA21,0)))</f>
        <v>0</v>
      </c>
      <c r="CC21" s="84">
        <f>IF($B21="",0,IF(الحضور!$AM23="A",CB21+AV21+1,IF(OR(الحضور!$AM23="W",الحضور!$AM23="PH"),CB21,0)))</f>
        <v>0</v>
      </c>
      <c r="CD21" s="84">
        <f>IF($B21="",0,IF(الحضور!$AN23="A",CC21+AW21+1,IF(OR(الحضور!$AN23="W",الحضور!$AN23="PH"),CC21,0)))</f>
        <v>0</v>
      </c>
      <c r="CE21" s="84">
        <f>IF($B21="",0,IF(الحضور!$AO23="A",CD21+AX21+1,IF(OR(الحضور!$AO23="W",الحضور!$AO23="PH"),CD21,0)))</f>
        <v>0</v>
      </c>
      <c r="CF21" s="84">
        <f>IF($B21="",0,IF(الحضور!$AP23="A",CE21+AY21+1,IF(OR(الحضور!$AP23="W",الحضور!$AP23="PH"),CE21,0)))</f>
        <v>0</v>
      </c>
    </row>
    <row r="22" spans="1:84" ht="16.5" customHeight="1" x14ac:dyDescent="0.35">
      <c r="A22" s="18">
        <v>17</v>
      </c>
      <c r="B22" s="62" t="str">
        <f>IF(الموظفون!$B22="","",الموظفون!$B22)</f>
        <v>EMP-017</v>
      </c>
      <c r="C22" s="61" t="str">
        <f>IF($B22="","",الموظفون!$C22)</f>
        <v>منى الغزالي</v>
      </c>
      <c r="D22" s="32"/>
      <c r="E22" s="32"/>
      <c r="F22" s="32"/>
      <c r="G22" s="32"/>
      <c r="H22" s="32"/>
      <c r="I22" s="32"/>
      <c r="J22" s="32"/>
      <c r="K22" s="32"/>
      <c r="L22" s="32"/>
      <c r="M22" s="32"/>
      <c r="N22" s="32"/>
      <c r="O22" s="32"/>
      <c r="P22" s="34">
        <f>IF($B22="","",SUM($D22:$O22)+IF(INDEX($D22:$O22,1,الإعدادات!$C$13)="",$Q22,0))</f>
        <v>1</v>
      </c>
      <c r="Q22" s="51">
        <f>IF($B22="","",الحضور!$G24)</f>
        <v>1</v>
      </c>
      <c r="R22" s="34">
        <f t="shared" si="0"/>
        <v>3</v>
      </c>
      <c r="S22" s="32"/>
      <c r="T22" s="61" t="str">
        <f>IF($B22="","",IF(OR($R22&gt;الإعدادات!$C$36,$S22&gt;الإعدادات!$C$36),"تجاوز حد الإنهاء — غياب متصل",IF($P22&gt;الإعدادات!$C$37,"تجاوز حد الإنهاء — غياب متقطع",IF(OR($R22&gt;=الإعدادات!$C$34,$S22&gt;=الإعدادات!$C$34),"إنذار كتابي واجب — غياب متصل",IF($P22&gt;=الإعدادات!$C$35,"إنذار كتابي واجب — غياب متقطع","سليم")))))</f>
        <v>سليم</v>
      </c>
      <c r="V22" s="84">
        <f>IF($B22="",0,IF(OR(الحضور!$L24="W",الحضور!$L24="PH"),0+1,0))</f>
        <v>1</v>
      </c>
      <c r="W22" s="84">
        <f>IF($B22="",0,IF(OR(الحضور!$M24="W",الحضور!$M24="PH"),V22+1,0))</f>
        <v>0</v>
      </c>
      <c r="X22" s="84">
        <f>IF($B22="",0,IF(OR(الحضور!$N24="W",الحضور!$N24="PH"),W22+1,0))</f>
        <v>0</v>
      </c>
      <c r="Y22" s="84">
        <f>IF($B22="",0,IF(OR(الحضور!$O24="W",الحضور!$O24="PH"),X22+1,0))</f>
        <v>0</v>
      </c>
      <c r="Z22" s="84">
        <f>IF($B22="",0,IF(OR(الحضور!$P24="W",الحضور!$P24="PH"),Y22+1,0))</f>
        <v>0</v>
      </c>
      <c r="AA22" s="84">
        <f>IF($B22="",0,IF(OR(الحضور!$Q24="W",الحضور!$Q24="PH"),Z22+1,0))</f>
        <v>0</v>
      </c>
      <c r="AB22" s="84">
        <f>IF($B22="",0,IF(OR(الحضور!$R24="W",الحضور!$R24="PH"),AA22+1,0))</f>
        <v>1</v>
      </c>
      <c r="AC22" s="84">
        <f>IF($B22="",0,IF(OR(الحضور!$S24="W",الحضور!$S24="PH"),AB22+1,0))</f>
        <v>2</v>
      </c>
      <c r="AD22" s="84">
        <f>IF($B22="",0,IF(OR(الحضور!$T24="W",الحضور!$T24="PH"),AC22+1,0))</f>
        <v>0</v>
      </c>
      <c r="AE22" s="84">
        <f>IF($B22="",0,IF(OR(الحضور!$U24="W",الحضور!$U24="PH"),AD22+1,0))</f>
        <v>0</v>
      </c>
      <c r="AF22" s="84">
        <f>IF($B22="",0,IF(OR(الحضور!$V24="W",الحضور!$V24="PH"),AE22+1,0))</f>
        <v>0</v>
      </c>
      <c r="AG22" s="84">
        <f>IF($B22="",0,IF(OR(الحضور!$W24="W",الحضور!$W24="PH"),AF22+1,0))</f>
        <v>0</v>
      </c>
      <c r="AH22" s="84">
        <f>IF($B22="",0,IF(OR(الحضور!$X24="W",الحضور!$X24="PH"),AG22+1,0))</f>
        <v>0</v>
      </c>
      <c r="AI22" s="84">
        <f>IF($B22="",0,IF(OR(الحضور!$Y24="W",الحضور!$Y24="PH"),AH22+1,0))</f>
        <v>1</v>
      </c>
      <c r="AJ22" s="84">
        <f>IF($B22="",0,IF(OR(الحضور!$Z24="W",الحضور!$Z24="PH"),AI22+1,0))</f>
        <v>2</v>
      </c>
      <c r="AK22" s="84">
        <f>IF($B22="",0,IF(OR(الحضور!$AA24="W",الحضور!$AA24="PH"),AJ22+1,0))</f>
        <v>0</v>
      </c>
      <c r="AL22" s="84">
        <f>IF($B22="",0,IF(OR(الحضور!$AB24="W",الحضور!$AB24="PH"),AK22+1,0))</f>
        <v>0</v>
      </c>
      <c r="AM22" s="84">
        <f>IF($B22="",0,IF(OR(الحضور!$AC24="W",الحضور!$AC24="PH"),AL22+1,0))</f>
        <v>0</v>
      </c>
      <c r="AN22" s="84">
        <f>IF($B22="",0,IF(OR(الحضور!$AD24="W",الحضور!$AD24="PH"),AM22+1,0))</f>
        <v>0</v>
      </c>
      <c r="AO22" s="84">
        <f>IF($B22="",0,IF(OR(الحضور!$AE24="W",الحضور!$AE24="PH"),AN22+1,0))</f>
        <v>0</v>
      </c>
      <c r="AP22" s="84">
        <f>IF($B22="",0,IF(OR(الحضور!$AF24="W",الحضور!$AF24="PH"),AO22+1,0))</f>
        <v>1</v>
      </c>
      <c r="AQ22" s="84">
        <f>IF($B22="",0,IF(OR(الحضور!$AG24="W",الحضور!$AG24="PH"),AP22+1,0))</f>
        <v>2</v>
      </c>
      <c r="AR22" s="84">
        <f>IF($B22="",0,IF(OR(الحضور!$AH24="W",الحضور!$AH24="PH"),AQ22+1,0))</f>
        <v>0</v>
      </c>
      <c r="AS22" s="84">
        <f>IF($B22="",0,IF(OR(الحضور!$AI24="W",الحضور!$AI24="PH"),AR22+1,0))</f>
        <v>0</v>
      </c>
      <c r="AT22" s="84">
        <f>IF($B22="",0,IF(OR(الحضور!$AJ24="W",الحضور!$AJ24="PH"),AS22+1,0))</f>
        <v>0</v>
      </c>
      <c r="AU22" s="84">
        <f>IF($B22="",0,IF(OR(الحضور!$AK24="W",الحضور!$AK24="PH"),AT22+1,0))</f>
        <v>0</v>
      </c>
      <c r="AV22" s="84">
        <f>IF($B22="",0,IF(OR(الحضور!$AL24="W",الحضور!$AL24="PH"),AU22+1,0))</f>
        <v>0</v>
      </c>
      <c r="AW22" s="84">
        <f>IF($B22="",0,IF(OR(الحضور!$AM24="W",الحضور!$AM24="PH"),AV22+1,0))</f>
        <v>1</v>
      </c>
      <c r="AX22" s="84">
        <f>IF($B22="",0,IF(OR(الحضور!$AN24="W",الحضور!$AN24="PH"),AW22+1,0))</f>
        <v>2</v>
      </c>
      <c r="AY22" s="84">
        <f>IF($B22="",0,IF(OR(الحضور!$AO24="W",الحضور!$AO24="PH"),AX22+1,0))</f>
        <v>0</v>
      </c>
      <c r="AZ22" s="84">
        <f>IF($B22="",0,IF(OR(الحضور!$AP24="W",الحضور!$AP24="PH"),AY22+1,0))</f>
        <v>0</v>
      </c>
      <c r="BB22" s="84">
        <f>IF($B22="",0,IF(الحضور!$L24="A",0+0+1,IF(OR(الحضور!$L24="W",الحضور!$L24="PH"),0,0)))</f>
        <v>0</v>
      </c>
      <c r="BC22" s="84">
        <f>IF($B22="",0,IF(الحضور!$M24="A",BB22+V22+1,IF(OR(الحضور!$M24="W",الحضور!$M24="PH"),BB22,0)))</f>
        <v>0</v>
      </c>
      <c r="BD22" s="84">
        <f>IF($B22="",0,IF(الحضور!$N24="A",BC22+W22+1,IF(OR(الحضور!$N24="W",الحضور!$N24="PH"),BC22,0)))</f>
        <v>0</v>
      </c>
      <c r="BE22" s="84">
        <f>IF($B22="",0,IF(الحضور!$O24="A",BD22+X22+1,IF(OR(الحضور!$O24="W",الحضور!$O24="PH"),BD22,0)))</f>
        <v>0</v>
      </c>
      <c r="BF22" s="84">
        <f>IF($B22="",0,IF(الحضور!$P24="A",BE22+Y22+1,IF(OR(الحضور!$P24="W",الحضور!$P24="PH"),BE22,0)))</f>
        <v>0</v>
      </c>
      <c r="BG22" s="84">
        <f>IF($B22="",0,IF(الحضور!$Q24="A",BF22+Z22+1,IF(OR(الحضور!$Q24="W",الحضور!$Q24="PH"),BF22,0)))</f>
        <v>0</v>
      </c>
      <c r="BH22" s="84">
        <f>IF($B22="",0,IF(الحضور!$R24="A",BG22+AA22+1,IF(OR(الحضور!$R24="W",الحضور!$R24="PH"),BG22,0)))</f>
        <v>0</v>
      </c>
      <c r="BI22" s="84">
        <f>IF($B22="",0,IF(الحضور!$S24="A",BH22+AB22+1,IF(OR(الحضور!$S24="W",الحضور!$S24="PH"),BH22,0)))</f>
        <v>0</v>
      </c>
      <c r="BJ22" s="84">
        <f>IF($B22="",0,IF(الحضور!$T24="A",BI22+AC22+1,IF(OR(الحضور!$T24="W",الحضور!$T24="PH"),BI22,0)))</f>
        <v>0</v>
      </c>
      <c r="BK22" s="84">
        <f>IF($B22="",0,IF(الحضور!$U24="A",BJ22+AD22+1,IF(OR(الحضور!$U24="W",الحضور!$U24="PH"),BJ22,0)))</f>
        <v>0</v>
      </c>
      <c r="BL22" s="84">
        <f>IF($B22="",0,IF(الحضور!$V24="A",BK22+AE22+1,IF(OR(الحضور!$V24="W",الحضور!$V24="PH"),BK22,0)))</f>
        <v>0</v>
      </c>
      <c r="BM22" s="84">
        <f>IF($B22="",0,IF(الحضور!$W24="A",BL22+AF22+1,IF(OR(الحضور!$W24="W",الحضور!$W24="PH"),BL22,0)))</f>
        <v>0</v>
      </c>
      <c r="BN22" s="84">
        <f>IF($B22="",0,IF(الحضور!$X24="A",BM22+AG22+1,IF(OR(الحضور!$X24="W",الحضور!$X24="PH"),BM22,0)))</f>
        <v>0</v>
      </c>
      <c r="BO22" s="84">
        <f>IF($B22="",0,IF(الحضور!$Y24="A",BN22+AH22+1,IF(OR(الحضور!$Y24="W",الحضور!$Y24="PH"),BN22,0)))</f>
        <v>0</v>
      </c>
      <c r="BP22" s="84">
        <f>IF($B22="",0,IF(الحضور!$Z24="A",BO22+AI22+1,IF(OR(الحضور!$Z24="W",الحضور!$Z24="PH"),BO22,0)))</f>
        <v>0</v>
      </c>
      <c r="BQ22" s="84">
        <f>IF($B22="",0,IF(الحضور!$AA24="A",BP22+AJ22+1,IF(OR(الحضور!$AA24="W",الحضور!$AA24="PH"),BP22,0)))</f>
        <v>0</v>
      </c>
      <c r="BR22" s="84">
        <f>IF($B22="",0,IF(الحضور!$AB24="A",BQ22+AK22+1,IF(OR(الحضور!$AB24="W",الحضور!$AB24="PH"),BQ22,0)))</f>
        <v>0</v>
      </c>
      <c r="BS22" s="84">
        <f>IF($B22="",0,IF(الحضور!$AC24="A",BR22+AL22+1,IF(OR(الحضور!$AC24="W",الحضور!$AC24="PH"),BR22,0)))</f>
        <v>0</v>
      </c>
      <c r="BT22" s="84">
        <f>IF($B22="",0,IF(الحضور!$AD24="A",BS22+AM22+1,IF(OR(الحضور!$AD24="W",الحضور!$AD24="PH"),BS22,0)))</f>
        <v>0</v>
      </c>
      <c r="BU22" s="84">
        <f>IF($B22="",0,IF(الحضور!$AE24="A",BT22+AN22+1,IF(OR(الحضور!$AE24="W",الحضور!$AE24="PH"),BT22,0)))</f>
        <v>0</v>
      </c>
      <c r="BV22" s="84">
        <f>IF($B22="",0,IF(الحضور!$AF24="A",BU22+AO22+1,IF(OR(الحضور!$AF24="W",الحضور!$AF24="PH"),BU22,0)))</f>
        <v>0</v>
      </c>
      <c r="BW22" s="84">
        <f>IF($B22="",0,IF(الحضور!$AG24="A",BV22+AP22+1,IF(OR(الحضور!$AG24="W",الحضور!$AG24="PH"),BV22,0)))</f>
        <v>0</v>
      </c>
      <c r="BX22" s="84">
        <f>IF($B22="",0,IF(الحضور!$AH24="A",BW22+AQ22+1,IF(OR(الحضور!$AH24="W",الحضور!$AH24="PH"),BW22,0)))</f>
        <v>3</v>
      </c>
      <c r="BY22" s="84">
        <f>IF($B22="",0,IF(الحضور!$AI24="A",BX22+AR22+1,IF(OR(الحضور!$AI24="W",الحضور!$AI24="PH"),BX22,0)))</f>
        <v>0</v>
      </c>
      <c r="BZ22" s="84">
        <f>IF($B22="",0,IF(الحضور!$AJ24="A",BY22+AS22+1,IF(OR(الحضور!$AJ24="W",الحضور!$AJ24="PH"),BY22,0)))</f>
        <v>0</v>
      </c>
      <c r="CA22" s="84">
        <f>IF($B22="",0,IF(الحضور!$AK24="A",BZ22+AT22+1,IF(OR(الحضور!$AK24="W",الحضور!$AK24="PH"),BZ22,0)))</f>
        <v>0</v>
      </c>
      <c r="CB22" s="84">
        <f>IF($B22="",0,IF(الحضور!$AL24="A",CA22+AU22+1,IF(OR(الحضور!$AL24="W",الحضور!$AL24="PH"),CA22,0)))</f>
        <v>0</v>
      </c>
      <c r="CC22" s="84">
        <f>IF($B22="",0,IF(الحضور!$AM24="A",CB22+AV22+1,IF(OR(الحضور!$AM24="W",الحضور!$AM24="PH"),CB22,0)))</f>
        <v>0</v>
      </c>
      <c r="CD22" s="84">
        <f>IF($B22="",0,IF(الحضور!$AN24="A",CC22+AW22+1,IF(OR(الحضور!$AN24="W",الحضور!$AN24="PH"),CC22,0)))</f>
        <v>0</v>
      </c>
      <c r="CE22" s="84">
        <f>IF($B22="",0,IF(الحضور!$AO24="A",CD22+AX22+1,IF(OR(الحضور!$AO24="W",الحضور!$AO24="PH"),CD22,0)))</f>
        <v>0</v>
      </c>
      <c r="CF22" s="84">
        <f>IF($B22="",0,IF(الحضور!$AP24="A",CE22+AY22+1,IF(OR(الحضور!$AP24="W",الحضور!$AP24="PH"),CE22,0)))</f>
        <v>0</v>
      </c>
    </row>
    <row r="23" spans="1:84" ht="16.5" customHeight="1" x14ac:dyDescent="0.35">
      <c r="A23" s="18">
        <v>18</v>
      </c>
      <c r="B23" s="62" t="str">
        <f>IF(الموظفون!$B23="","",الموظفون!$B23)</f>
        <v>EMP-018</v>
      </c>
      <c r="C23" s="61" t="str">
        <f>IF($B23="","",الموظفون!$C23)</f>
        <v>هيا الغانم</v>
      </c>
      <c r="D23" s="32"/>
      <c r="E23" s="32"/>
      <c r="F23" s="32"/>
      <c r="G23" s="32"/>
      <c r="H23" s="32"/>
      <c r="I23" s="32"/>
      <c r="J23" s="32"/>
      <c r="K23" s="32"/>
      <c r="L23" s="32"/>
      <c r="M23" s="32"/>
      <c r="N23" s="32"/>
      <c r="O23" s="32"/>
      <c r="P23" s="34">
        <f>IF($B23="","",SUM($D23:$O23)+IF(INDEX($D23:$O23,1,الإعدادات!$C$13)="",$Q23,0))</f>
        <v>5</v>
      </c>
      <c r="Q23" s="51">
        <f>IF($B23="","",الحضور!$G25)</f>
        <v>5</v>
      </c>
      <c r="R23" s="34">
        <f t="shared" si="0"/>
        <v>2</v>
      </c>
      <c r="S23" s="32"/>
      <c r="T23" s="61" t="str">
        <f>IF($B23="","",IF(OR($R23&gt;الإعدادات!$C$36,$S23&gt;الإعدادات!$C$36),"تجاوز حد الإنهاء — غياب متصل",IF($P23&gt;الإعدادات!$C$37,"تجاوز حد الإنهاء — غياب متقطع",IF(OR($R23&gt;=الإعدادات!$C$34,$S23&gt;=الإعدادات!$C$34),"إنذار كتابي واجب — غياب متصل",IF($P23&gt;=الإعدادات!$C$35,"إنذار كتابي واجب — غياب متقطع","سليم")))))</f>
        <v>سليم</v>
      </c>
      <c r="V23" s="84">
        <f>IF($B23="",0,IF(OR(الحضور!$L25="W",الحضور!$L25="PH"),0+1,0))</f>
        <v>1</v>
      </c>
      <c r="W23" s="84">
        <f>IF($B23="",0,IF(OR(الحضور!$M25="W",الحضور!$M25="PH"),V23+1,0))</f>
        <v>0</v>
      </c>
      <c r="X23" s="84">
        <f>IF($B23="",0,IF(OR(الحضور!$N25="W",الحضور!$N25="PH"),W23+1,0))</f>
        <v>0</v>
      </c>
      <c r="Y23" s="84">
        <f>IF($B23="",0,IF(OR(الحضور!$O25="W",الحضور!$O25="PH"),X23+1,0))</f>
        <v>0</v>
      </c>
      <c r="Z23" s="84">
        <f>IF($B23="",0,IF(OR(الحضور!$P25="W",الحضور!$P25="PH"),Y23+1,0))</f>
        <v>0</v>
      </c>
      <c r="AA23" s="84">
        <f>IF($B23="",0,IF(OR(الحضور!$Q25="W",الحضور!$Q25="PH"),Z23+1,0))</f>
        <v>0</v>
      </c>
      <c r="AB23" s="84">
        <f>IF($B23="",0,IF(OR(الحضور!$R25="W",الحضور!$R25="PH"),AA23+1,0))</f>
        <v>1</v>
      </c>
      <c r="AC23" s="84">
        <f>IF($B23="",0,IF(OR(الحضور!$S25="W",الحضور!$S25="PH"),AB23+1,0))</f>
        <v>2</v>
      </c>
      <c r="AD23" s="84">
        <f>IF($B23="",0,IF(OR(الحضور!$T25="W",الحضور!$T25="PH"),AC23+1,0))</f>
        <v>0</v>
      </c>
      <c r="AE23" s="84">
        <f>IF($B23="",0,IF(OR(الحضور!$U25="W",الحضور!$U25="PH"),AD23+1,0))</f>
        <v>0</v>
      </c>
      <c r="AF23" s="84">
        <f>IF($B23="",0,IF(OR(الحضور!$V25="W",الحضور!$V25="PH"),AE23+1,0))</f>
        <v>0</v>
      </c>
      <c r="AG23" s="84">
        <f>IF($B23="",0,IF(OR(الحضور!$W25="W",الحضور!$W25="PH"),AF23+1,0))</f>
        <v>0</v>
      </c>
      <c r="AH23" s="84">
        <f>IF($B23="",0,IF(OR(الحضور!$X25="W",الحضور!$X25="PH"),AG23+1,0))</f>
        <v>0</v>
      </c>
      <c r="AI23" s="84">
        <f>IF($B23="",0,IF(OR(الحضور!$Y25="W",الحضور!$Y25="PH"),AH23+1,0))</f>
        <v>1</v>
      </c>
      <c r="AJ23" s="84">
        <f>IF($B23="",0,IF(OR(الحضور!$Z25="W",الحضور!$Z25="PH"),AI23+1,0))</f>
        <v>2</v>
      </c>
      <c r="AK23" s="84">
        <f>IF($B23="",0,IF(OR(الحضور!$AA25="W",الحضور!$AA25="PH"),AJ23+1,0))</f>
        <v>0</v>
      </c>
      <c r="AL23" s="84">
        <f>IF($B23="",0,IF(OR(الحضور!$AB25="W",الحضور!$AB25="PH"),AK23+1,0))</f>
        <v>0</v>
      </c>
      <c r="AM23" s="84">
        <f>IF($B23="",0,IF(OR(الحضور!$AC25="W",الحضور!$AC25="PH"),AL23+1,0))</f>
        <v>0</v>
      </c>
      <c r="AN23" s="84">
        <f>IF($B23="",0,IF(OR(الحضور!$AD25="W",الحضور!$AD25="PH"),AM23+1,0))</f>
        <v>0</v>
      </c>
      <c r="AO23" s="84">
        <f>IF($B23="",0,IF(OR(الحضور!$AE25="W",الحضور!$AE25="PH"),AN23+1,0))</f>
        <v>0</v>
      </c>
      <c r="AP23" s="84">
        <f>IF($B23="",0,IF(OR(الحضور!$AF25="W",الحضور!$AF25="PH"),AO23+1,0))</f>
        <v>1</v>
      </c>
      <c r="AQ23" s="84">
        <f>IF($B23="",0,IF(OR(الحضور!$AG25="W",الحضور!$AG25="PH"),AP23+1,0))</f>
        <v>2</v>
      </c>
      <c r="AR23" s="84">
        <f>IF($B23="",0,IF(OR(الحضور!$AH25="W",الحضور!$AH25="PH"),AQ23+1,0))</f>
        <v>0</v>
      </c>
      <c r="AS23" s="84">
        <f>IF($B23="",0,IF(OR(الحضور!$AI25="W",الحضور!$AI25="PH"),AR23+1,0))</f>
        <v>0</v>
      </c>
      <c r="AT23" s="84">
        <f>IF($B23="",0,IF(OR(الحضور!$AJ25="W",الحضور!$AJ25="PH"),AS23+1,0))</f>
        <v>0</v>
      </c>
      <c r="AU23" s="84">
        <f>IF($B23="",0,IF(OR(الحضور!$AK25="W",الحضور!$AK25="PH"),AT23+1,0))</f>
        <v>0</v>
      </c>
      <c r="AV23" s="84">
        <f>IF($B23="",0,IF(OR(الحضور!$AL25="W",الحضور!$AL25="PH"),AU23+1,0))</f>
        <v>0</v>
      </c>
      <c r="AW23" s="84">
        <f>IF($B23="",0,IF(OR(الحضور!$AM25="W",الحضور!$AM25="PH"),AV23+1,0))</f>
        <v>1</v>
      </c>
      <c r="AX23" s="84">
        <f>IF($B23="",0,IF(OR(الحضور!$AN25="W",الحضور!$AN25="PH"),AW23+1,0))</f>
        <v>2</v>
      </c>
      <c r="AY23" s="84">
        <f>IF($B23="",0,IF(OR(الحضور!$AO25="W",الحضور!$AO25="PH"),AX23+1,0))</f>
        <v>0</v>
      </c>
      <c r="AZ23" s="84">
        <f>IF($B23="",0,IF(OR(الحضور!$AP25="W",الحضور!$AP25="PH"),AY23+1,0))</f>
        <v>0</v>
      </c>
      <c r="BB23" s="84">
        <f>IF($B23="",0,IF(الحضور!$L25="A",0+0+1,IF(OR(الحضور!$L25="W",الحضور!$L25="PH"),0,0)))</f>
        <v>0</v>
      </c>
      <c r="BC23" s="84">
        <f>IF($B23="",0,IF(الحضور!$M25="A",BB23+V23+1,IF(OR(الحضور!$M25="W",الحضور!$M25="PH"),BB23,0)))</f>
        <v>0</v>
      </c>
      <c r="BD23" s="84">
        <f>IF($B23="",0,IF(الحضور!$N25="A",BC23+W23+1,IF(OR(الحضور!$N25="W",الحضور!$N25="PH"),BC23,0)))</f>
        <v>1</v>
      </c>
      <c r="BE23" s="84">
        <f>IF($B23="",0,IF(الحضور!$O25="A",BD23+X23+1,IF(OR(الحضور!$O25="W",الحضور!$O25="PH"),BD23,0)))</f>
        <v>2</v>
      </c>
      <c r="BF23" s="84">
        <f>IF($B23="",0,IF(الحضور!$P25="A",BE23+Y23+1,IF(OR(الحضور!$P25="W",الحضور!$P25="PH"),BE23,0)))</f>
        <v>0</v>
      </c>
      <c r="BG23" s="84">
        <f>IF($B23="",0,IF(الحضور!$Q25="A",BF23+Z23+1,IF(OR(الحضور!$Q25="W",الحضور!$Q25="PH"),BF23,0)))</f>
        <v>0</v>
      </c>
      <c r="BH23" s="84">
        <f>IF($B23="",0,IF(الحضور!$R25="A",BG23+AA23+1,IF(OR(الحضور!$R25="W",الحضور!$R25="PH"),BG23,0)))</f>
        <v>0</v>
      </c>
      <c r="BI23" s="84">
        <f>IF($B23="",0,IF(الحضور!$S25="A",BH23+AB23+1,IF(OR(الحضور!$S25="W",الحضور!$S25="PH"),BH23,0)))</f>
        <v>0</v>
      </c>
      <c r="BJ23" s="84">
        <f>IF($B23="",0,IF(الحضور!$T25="A",BI23+AC23+1,IF(OR(الحضور!$T25="W",الحضور!$T25="PH"),BI23,0)))</f>
        <v>0</v>
      </c>
      <c r="BK23" s="84">
        <f>IF($B23="",0,IF(الحضور!$U25="A",BJ23+AD23+1,IF(OR(الحضور!$U25="W",الحضور!$U25="PH"),BJ23,0)))</f>
        <v>1</v>
      </c>
      <c r="BL23" s="84">
        <f>IF($B23="",0,IF(الحضور!$V25="A",BK23+AE23+1,IF(OR(الحضور!$V25="W",الحضور!$V25="PH"),BK23,0)))</f>
        <v>0</v>
      </c>
      <c r="BM23" s="84">
        <f>IF($B23="",0,IF(الحضور!$W25="A",BL23+AF23+1,IF(OR(الحضور!$W25="W",الحضور!$W25="PH"),BL23,0)))</f>
        <v>0</v>
      </c>
      <c r="BN23" s="84">
        <f>IF($B23="",0,IF(الحضور!$X25="A",BM23+AG23+1,IF(OR(الحضور!$X25="W",الحضور!$X25="PH"),BM23,0)))</f>
        <v>0</v>
      </c>
      <c r="BO23" s="84">
        <f>IF($B23="",0,IF(الحضور!$Y25="A",BN23+AH23+1,IF(OR(الحضور!$Y25="W",الحضور!$Y25="PH"),BN23,0)))</f>
        <v>0</v>
      </c>
      <c r="BP23" s="84">
        <f>IF($B23="",0,IF(الحضور!$Z25="A",BO23+AI23+1,IF(OR(الحضور!$Z25="W",الحضور!$Z25="PH"),BO23,0)))</f>
        <v>0</v>
      </c>
      <c r="BQ23" s="84">
        <f>IF($B23="",0,IF(الحضور!$AA25="A",BP23+AJ23+1,IF(OR(الحضور!$AA25="W",الحضور!$AA25="PH"),BP23,0)))</f>
        <v>0</v>
      </c>
      <c r="BR23" s="84">
        <f>IF($B23="",0,IF(الحضور!$AB25="A",BQ23+AK23+1,IF(OR(الحضور!$AB25="W",الحضور!$AB25="PH"),BQ23,0)))</f>
        <v>0</v>
      </c>
      <c r="BS23" s="84">
        <f>IF($B23="",0,IF(الحضور!$AC25="A",BR23+AL23+1,IF(OR(الحضور!$AC25="W",الحضور!$AC25="PH"),BR23,0)))</f>
        <v>0</v>
      </c>
      <c r="BT23" s="84">
        <f>IF($B23="",0,IF(الحضور!$AD25="A",BS23+AM23+1,IF(OR(الحضور!$AD25="W",الحضور!$AD25="PH"),BS23,0)))</f>
        <v>0</v>
      </c>
      <c r="BU23" s="84">
        <f>IF($B23="",0,IF(الحضور!$AE25="A",BT23+AN23+1,IF(OR(الحضور!$AE25="W",الحضور!$AE25="PH"),BT23,0)))</f>
        <v>0</v>
      </c>
      <c r="BV23" s="84">
        <f>IF($B23="",0,IF(الحضور!$AF25="A",BU23+AO23+1,IF(OR(الحضور!$AF25="W",الحضور!$AF25="PH"),BU23,0)))</f>
        <v>0</v>
      </c>
      <c r="BW23" s="84">
        <f>IF($B23="",0,IF(الحضور!$AG25="A",BV23+AP23+1,IF(OR(الحضور!$AG25="W",الحضور!$AG25="PH"),BV23,0)))</f>
        <v>0</v>
      </c>
      <c r="BX23" s="84">
        <f>IF($B23="",0,IF(الحضور!$AH25="A",BW23+AQ23+1,IF(OR(الحضور!$AH25="W",الحضور!$AH25="PH"),BW23,0)))</f>
        <v>0</v>
      </c>
      <c r="BY23" s="84">
        <f>IF($B23="",0,IF(الحضور!$AI25="A",BX23+AR23+1,IF(OR(الحضور!$AI25="W",الحضور!$AI25="PH"),BX23,0)))</f>
        <v>0</v>
      </c>
      <c r="BZ23" s="84">
        <f>IF($B23="",0,IF(الحضور!$AJ25="A",BY23+AS23+1,IF(OR(الحضور!$AJ25="W",الحضور!$AJ25="PH"),BY23,0)))</f>
        <v>0</v>
      </c>
      <c r="CA23" s="84">
        <f>IF($B23="",0,IF(الحضور!$AK25="A",BZ23+AT23+1,IF(OR(الحضور!$AK25="W",الحضور!$AK25="PH"),BZ23,0)))</f>
        <v>0</v>
      </c>
      <c r="CB23" s="84">
        <f>IF($B23="",0,IF(الحضور!$AL25="A",CA23+AU23+1,IF(OR(الحضور!$AL25="W",الحضور!$AL25="PH"),CA23,0)))</f>
        <v>1</v>
      </c>
      <c r="CC23" s="84">
        <f>IF($B23="",0,IF(الحضور!$AM25="A",CB23+AV23+1,IF(OR(الحضور!$AM25="W",الحضور!$AM25="PH"),CB23,0)))</f>
        <v>1</v>
      </c>
      <c r="CD23" s="84">
        <f>IF($B23="",0,IF(الحضور!$AN25="A",CC23+AW23+1,IF(OR(الحضور!$AN25="W",الحضور!$AN25="PH"),CC23,0)))</f>
        <v>1</v>
      </c>
      <c r="CE23" s="84">
        <f>IF($B23="",0,IF(الحضور!$AO25="A",CD23+AX23+1,IF(OR(الحضور!$AO25="W",الحضور!$AO25="PH"),CD23,0)))</f>
        <v>0</v>
      </c>
      <c r="CF23" s="84">
        <f>IF($B23="",0,IF(الحضور!$AP25="A",CE23+AY23+1,IF(OR(الحضور!$AP25="W",الحضور!$AP25="PH"),CE23,0)))</f>
        <v>1</v>
      </c>
    </row>
    <row r="24" spans="1:84" ht="16.5" customHeight="1" x14ac:dyDescent="0.35">
      <c r="A24" s="18">
        <v>19</v>
      </c>
      <c r="B24" s="62" t="str">
        <f>IF(الموظفون!$B24="","",الموظفون!$B24)</f>
        <v>EMP-019</v>
      </c>
      <c r="C24" s="61" t="str">
        <f>IF($B24="","",الموظفون!$C24)</f>
        <v>رانيا الخولي</v>
      </c>
      <c r="D24" s="32"/>
      <c r="E24" s="32"/>
      <c r="F24" s="32"/>
      <c r="G24" s="32"/>
      <c r="H24" s="32"/>
      <c r="I24" s="32"/>
      <c r="J24" s="32"/>
      <c r="K24" s="32"/>
      <c r="L24" s="32"/>
      <c r="M24" s="32"/>
      <c r="N24" s="32"/>
      <c r="O24" s="32"/>
      <c r="P24" s="34">
        <f>IF($B24="","",SUM($D24:$O24)+IF(INDEX($D24:$O24,1,الإعدادات!$C$13)="",$Q24,0))</f>
        <v>0</v>
      </c>
      <c r="Q24" s="51">
        <f>IF($B24="","",الحضور!$G26)</f>
        <v>0</v>
      </c>
      <c r="R24" s="34">
        <f t="shared" si="0"/>
        <v>0</v>
      </c>
      <c r="S24" s="32"/>
      <c r="T24" s="61" t="str">
        <f>IF($B24="","",IF(OR($R24&gt;الإعدادات!$C$36,$S24&gt;الإعدادات!$C$36),"تجاوز حد الإنهاء — غياب متصل",IF($P24&gt;الإعدادات!$C$37,"تجاوز حد الإنهاء — غياب متقطع",IF(OR($R24&gt;=الإعدادات!$C$34,$S24&gt;=الإعدادات!$C$34),"إنذار كتابي واجب — غياب متصل",IF($P24&gt;=الإعدادات!$C$35,"إنذار كتابي واجب — غياب متقطع","سليم")))))</f>
        <v>سليم</v>
      </c>
      <c r="V24" s="84">
        <f>IF($B24="",0,IF(OR(الحضور!$L26="W",الحضور!$L26="PH"),0+1,0))</f>
        <v>1</v>
      </c>
      <c r="W24" s="84">
        <f>IF($B24="",0,IF(OR(الحضور!$M26="W",الحضور!$M26="PH"),V24+1,0))</f>
        <v>0</v>
      </c>
      <c r="X24" s="84">
        <f>IF($B24="",0,IF(OR(الحضور!$N26="W",الحضور!$N26="PH"),W24+1,0))</f>
        <v>0</v>
      </c>
      <c r="Y24" s="84">
        <f>IF($B24="",0,IF(OR(الحضور!$O26="W",الحضور!$O26="PH"),X24+1,0))</f>
        <v>0</v>
      </c>
      <c r="Z24" s="84">
        <f>IF($B24="",0,IF(OR(الحضور!$P26="W",الحضور!$P26="PH"),Y24+1,0))</f>
        <v>0</v>
      </c>
      <c r="AA24" s="84">
        <f>IF($B24="",0,IF(OR(الحضور!$Q26="W",الحضور!$Q26="PH"),Z24+1,0))</f>
        <v>0</v>
      </c>
      <c r="AB24" s="84">
        <f>IF($B24="",0,IF(OR(الحضور!$R26="W",الحضور!$R26="PH"),AA24+1,0))</f>
        <v>1</v>
      </c>
      <c r="AC24" s="84">
        <f>IF($B24="",0,IF(OR(الحضور!$S26="W",الحضور!$S26="PH"),AB24+1,0))</f>
        <v>2</v>
      </c>
      <c r="AD24" s="84">
        <f>IF($B24="",0,IF(OR(الحضور!$T26="W",الحضور!$T26="PH"),AC24+1,0))</f>
        <v>0</v>
      </c>
      <c r="AE24" s="84">
        <f>IF($B24="",0,IF(OR(الحضور!$U26="W",الحضور!$U26="PH"),AD24+1,0))</f>
        <v>0</v>
      </c>
      <c r="AF24" s="84">
        <f>IF($B24="",0,IF(OR(الحضور!$V26="W",الحضور!$V26="PH"),AE24+1,0))</f>
        <v>0</v>
      </c>
      <c r="AG24" s="84">
        <f>IF($B24="",0,IF(OR(الحضور!$W26="W",الحضور!$W26="PH"),AF24+1,0))</f>
        <v>0</v>
      </c>
      <c r="AH24" s="84">
        <f>IF($B24="",0,IF(OR(الحضور!$X26="W",الحضور!$X26="PH"),AG24+1,0))</f>
        <v>0</v>
      </c>
      <c r="AI24" s="84">
        <f>IF($B24="",0,IF(OR(الحضور!$Y26="W",الحضور!$Y26="PH"),AH24+1,0))</f>
        <v>1</v>
      </c>
      <c r="AJ24" s="84">
        <f>IF($B24="",0,IF(OR(الحضور!$Z26="W",الحضور!$Z26="PH"),AI24+1,0))</f>
        <v>2</v>
      </c>
      <c r="AK24" s="84">
        <f>IF($B24="",0,IF(OR(الحضور!$AA26="W",الحضور!$AA26="PH"),AJ24+1,0))</f>
        <v>0</v>
      </c>
      <c r="AL24" s="84">
        <f>IF($B24="",0,IF(OR(الحضور!$AB26="W",الحضور!$AB26="PH"),AK24+1,0))</f>
        <v>0</v>
      </c>
      <c r="AM24" s="84">
        <f>IF($B24="",0,IF(OR(الحضور!$AC26="W",الحضور!$AC26="PH"),AL24+1,0))</f>
        <v>0</v>
      </c>
      <c r="AN24" s="84">
        <f>IF($B24="",0,IF(OR(الحضور!$AD26="W",الحضور!$AD26="PH"),AM24+1,0))</f>
        <v>0</v>
      </c>
      <c r="AO24" s="84">
        <f>IF($B24="",0,IF(OR(الحضور!$AE26="W",الحضور!$AE26="PH"),AN24+1,0))</f>
        <v>0</v>
      </c>
      <c r="AP24" s="84">
        <f>IF($B24="",0,IF(OR(الحضور!$AF26="W",الحضور!$AF26="PH"),AO24+1,0))</f>
        <v>1</v>
      </c>
      <c r="AQ24" s="84">
        <f>IF($B24="",0,IF(OR(الحضور!$AG26="W",الحضور!$AG26="PH"),AP24+1,0))</f>
        <v>2</v>
      </c>
      <c r="AR24" s="84">
        <f>IF($B24="",0,IF(OR(الحضور!$AH26="W",الحضور!$AH26="PH"),AQ24+1,0))</f>
        <v>0</v>
      </c>
      <c r="AS24" s="84">
        <f>IF($B24="",0,IF(OR(الحضور!$AI26="W",الحضور!$AI26="PH"),AR24+1,0))</f>
        <v>0</v>
      </c>
      <c r="AT24" s="84">
        <f>IF($B24="",0,IF(OR(الحضور!$AJ26="W",الحضور!$AJ26="PH"),AS24+1,0))</f>
        <v>0</v>
      </c>
      <c r="AU24" s="84">
        <f>IF($B24="",0,IF(OR(الحضور!$AK26="W",الحضور!$AK26="PH"),AT24+1,0))</f>
        <v>0</v>
      </c>
      <c r="AV24" s="84">
        <f>IF($B24="",0,IF(OR(الحضور!$AL26="W",الحضور!$AL26="PH"),AU24+1,0))</f>
        <v>0</v>
      </c>
      <c r="AW24" s="84">
        <f>IF($B24="",0,IF(OR(الحضور!$AM26="W",الحضور!$AM26="PH"),AV24+1,0))</f>
        <v>1</v>
      </c>
      <c r="AX24" s="84">
        <f>IF($B24="",0,IF(OR(الحضور!$AN26="W",الحضور!$AN26="PH"),AW24+1,0))</f>
        <v>2</v>
      </c>
      <c r="AY24" s="84">
        <f>IF($B24="",0,IF(OR(الحضور!$AO26="W",الحضور!$AO26="PH"),AX24+1,0))</f>
        <v>0</v>
      </c>
      <c r="AZ24" s="84">
        <f>IF($B24="",0,IF(OR(الحضور!$AP26="W",الحضور!$AP26="PH"),AY24+1,0))</f>
        <v>0</v>
      </c>
      <c r="BB24" s="84">
        <f>IF($B24="",0,IF(الحضور!$L26="A",0+0+1,IF(OR(الحضور!$L26="W",الحضور!$L26="PH"),0,0)))</f>
        <v>0</v>
      </c>
      <c r="BC24" s="84">
        <f>IF($B24="",0,IF(الحضور!$M26="A",BB24+V24+1,IF(OR(الحضور!$M26="W",الحضور!$M26="PH"),BB24,0)))</f>
        <v>0</v>
      </c>
      <c r="BD24" s="84">
        <f>IF($B24="",0,IF(الحضور!$N26="A",BC24+W24+1,IF(OR(الحضور!$N26="W",الحضور!$N26="PH"),BC24,0)))</f>
        <v>0</v>
      </c>
      <c r="BE24" s="84">
        <f>IF($B24="",0,IF(الحضور!$O26="A",BD24+X24+1,IF(OR(الحضور!$O26="W",الحضور!$O26="PH"),BD24,0)))</f>
        <v>0</v>
      </c>
      <c r="BF24" s="84">
        <f>IF($B24="",0,IF(الحضور!$P26="A",BE24+Y24+1,IF(OR(الحضور!$P26="W",الحضور!$P26="PH"),BE24,0)))</f>
        <v>0</v>
      </c>
      <c r="BG24" s="84">
        <f>IF($B24="",0,IF(الحضور!$Q26="A",BF24+Z24+1,IF(OR(الحضور!$Q26="W",الحضور!$Q26="PH"),BF24,0)))</f>
        <v>0</v>
      </c>
      <c r="BH24" s="84">
        <f>IF($B24="",0,IF(الحضور!$R26="A",BG24+AA24+1,IF(OR(الحضور!$R26="W",الحضور!$R26="PH"),BG24,0)))</f>
        <v>0</v>
      </c>
      <c r="BI24" s="84">
        <f>IF($B24="",0,IF(الحضور!$S26="A",BH24+AB24+1,IF(OR(الحضور!$S26="W",الحضور!$S26="PH"),BH24,0)))</f>
        <v>0</v>
      </c>
      <c r="BJ24" s="84">
        <f>IF($B24="",0,IF(الحضور!$T26="A",BI24+AC24+1,IF(OR(الحضور!$T26="W",الحضور!$T26="PH"),BI24,0)))</f>
        <v>0</v>
      </c>
      <c r="BK24" s="84">
        <f>IF($B24="",0,IF(الحضور!$U26="A",BJ24+AD24+1,IF(OR(الحضور!$U26="W",الحضور!$U26="PH"),BJ24,0)))</f>
        <v>0</v>
      </c>
      <c r="BL24" s="84">
        <f>IF($B24="",0,IF(الحضور!$V26="A",BK24+AE24+1,IF(OR(الحضور!$V26="W",الحضور!$V26="PH"),BK24,0)))</f>
        <v>0</v>
      </c>
      <c r="BM24" s="84">
        <f>IF($B24="",0,IF(الحضور!$W26="A",BL24+AF24+1,IF(OR(الحضور!$W26="W",الحضور!$W26="PH"),BL24,0)))</f>
        <v>0</v>
      </c>
      <c r="BN24" s="84">
        <f>IF($B24="",0,IF(الحضور!$X26="A",BM24+AG24+1,IF(OR(الحضور!$X26="W",الحضور!$X26="PH"),BM24,0)))</f>
        <v>0</v>
      </c>
      <c r="BO24" s="84">
        <f>IF($B24="",0,IF(الحضور!$Y26="A",BN24+AH24+1,IF(OR(الحضور!$Y26="W",الحضور!$Y26="PH"),BN24,0)))</f>
        <v>0</v>
      </c>
      <c r="BP24" s="84">
        <f>IF($B24="",0,IF(الحضور!$Z26="A",BO24+AI24+1,IF(OR(الحضور!$Z26="W",الحضور!$Z26="PH"),BO24,0)))</f>
        <v>0</v>
      </c>
      <c r="BQ24" s="84">
        <f>IF($B24="",0,IF(الحضور!$AA26="A",BP24+AJ24+1,IF(OR(الحضور!$AA26="W",الحضور!$AA26="PH"),BP24,0)))</f>
        <v>0</v>
      </c>
      <c r="BR24" s="84">
        <f>IF($B24="",0,IF(الحضور!$AB26="A",BQ24+AK24+1,IF(OR(الحضور!$AB26="W",الحضور!$AB26="PH"),BQ24,0)))</f>
        <v>0</v>
      </c>
      <c r="BS24" s="84">
        <f>IF($B24="",0,IF(الحضور!$AC26="A",BR24+AL24+1,IF(OR(الحضور!$AC26="W",الحضور!$AC26="PH"),BR24,0)))</f>
        <v>0</v>
      </c>
      <c r="BT24" s="84">
        <f>IF($B24="",0,IF(الحضور!$AD26="A",BS24+AM24+1,IF(OR(الحضور!$AD26="W",الحضور!$AD26="PH"),BS24,0)))</f>
        <v>0</v>
      </c>
      <c r="BU24" s="84">
        <f>IF($B24="",0,IF(الحضور!$AE26="A",BT24+AN24+1,IF(OR(الحضور!$AE26="W",الحضور!$AE26="PH"),BT24,0)))</f>
        <v>0</v>
      </c>
      <c r="BV24" s="84">
        <f>IF($B24="",0,IF(الحضور!$AF26="A",BU24+AO24+1,IF(OR(الحضور!$AF26="W",الحضور!$AF26="PH"),BU24,0)))</f>
        <v>0</v>
      </c>
      <c r="BW24" s="84">
        <f>IF($B24="",0,IF(الحضور!$AG26="A",BV24+AP24+1,IF(OR(الحضور!$AG26="W",الحضور!$AG26="PH"),BV24,0)))</f>
        <v>0</v>
      </c>
      <c r="BX24" s="84">
        <f>IF($B24="",0,IF(الحضور!$AH26="A",BW24+AQ24+1,IF(OR(الحضور!$AH26="W",الحضور!$AH26="PH"),BW24,0)))</f>
        <v>0</v>
      </c>
      <c r="BY24" s="84">
        <f>IF($B24="",0,IF(الحضور!$AI26="A",BX24+AR24+1,IF(OR(الحضور!$AI26="W",الحضور!$AI26="PH"),BX24,0)))</f>
        <v>0</v>
      </c>
      <c r="BZ24" s="84">
        <f>IF($B24="",0,IF(الحضور!$AJ26="A",BY24+AS24+1,IF(OR(الحضور!$AJ26="W",الحضور!$AJ26="PH"),BY24,0)))</f>
        <v>0</v>
      </c>
      <c r="CA24" s="84">
        <f>IF($B24="",0,IF(الحضور!$AK26="A",BZ24+AT24+1,IF(OR(الحضور!$AK26="W",الحضور!$AK26="PH"),BZ24,0)))</f>
        <v>0</v>
      </c>
      <c r="CB24" s="84">
        <f>IF($B24="",0,IF(الحضور!$AL26="A",CA24+AU24+1,IF(OR(الحضور!$AL26="W",الحضور!$AL26="PH"),CA24,0)))</f>
        <v>0</v>
      </c>
      <c r="CC24" s="84">
        <f>IF($B24="",0,IF(الحضور!$AM26="A",CB24+AV24+1,IF(OR(الحضور!$AM26="W",الحضور!$AM26="PH"),CB24,0)))</f>
        <v>0</v>
      </c>
      <c r="CD24" s="84">
        <f>IF($B24="",0,IF(الحضور!$AN26="A",CC24+AW24+1,IF(OR(الحضور!$AN26="W",الحضور!$AN26="PH"),CC24,0)))</f>
        <v>0</v>
      </c>
      <c r="CE24" s="84">
        <f>IF($B24="",0,IF(الحضور!$AO26="A",CD24+AX24+1,IF(OR(الحضور!$AO26="W",الحضور!$AO26="PH"),CD24,0)))</f>
        <v>0</v>
      </c>
      <c r="CF24" s="84">
        <f>IF($B24="",0,IF(الحضور!$AP26="A",CE24+AY24+1,IF(OR(الحضور!$AP26="W",الحضور!$AP26="PH"),CE24,0)))</f>
        <v>0</v>
      </c>
    </row>
    <row r="25" spans="1:84" ht="16.5" customHeight="1" x14ac:dyDescent="0.35">
      <c r="A25" s="18">
        <v>20</v>
      </c>
      <c r="B25" s="62" t="str">
        <f>IF(الموظفون!$B25="","",الموظفون!$B25)</f>
        <v>EMP-020</v>
      </c>
      <c r="C25" s="61" t="str">
        <f>IF($B25="","",الموظفون!$C25)</f>
        <v>أروى العسيري</v>
      </c>
      <c r="D25" s="32"/>
      <c r="E25" s="32"/>
      <c r="F25" s="32"/>
      <c r="G25" s="32"/>
      <c r="H25" s="32"/>
      <c r="I25" s="32"/>
      <c r="J25" s="32"/>
      <c r="K25" s="32"/>
      <c r="L25" s="32"/>
      <c r="M25" s="32"/>
      <c r="N25" s="32"/>
      <c r="O25" s="32"/>
      <c r="P25" s="34">
        <f>IF($B25="","",SUM($D25:$O25)+IF(INDEX($D25:$O25,1,الإعدادات!$C$13)="",$Q25,0))</f>
        <v>0</v>
      </c>
      <c r="Q25" s="51">
        <f>IF($B25="","",الحضور!$G27)</f>
        <v>0</v>
      </c>
      <c r="R25" s="34">
        <f t="shared" si="0"/>
        <v>0</v>
      </c>
      <c r="S25" s="32"/>
      <c r="T25" s="61" t="str">
        <f>IF($B25="","",IF(OR($R25&gt;الإعدادات!$C$36,$S25&gt;الإعدادات!$C$36),"تجاوز حد الإنهاء — غياب متصل",IF($P25&gt;الإعدادات!$C$37,"تجاوز حد الإنهاء — غياب متقطع",IF(OR($R25&gt;=الإعدادات!$C$34,$S25&gt;=الإعدادات!$C$34),"إنذار كتابي واجب — غياب متصل",IF($P25&gt;=الإعدادات!$C$35,"إنذار كتابي واجب — غياب متقطع","سليم")))))</f>
        <v>سليم</v>
      </c>
      <c r="V25" s="84">
        <f>IF($B25="",0,IF(OR(الحضور!$L27="W",الحضور!$L27="PH"),0+1,0))</f>
        <v>1</v>
      </c>
      <c r="W25" s="84">
        <f>IF($B25="",0,IF(OR(الحضور!$M27="W",الحضور!$M27="PH"),V25+1,0))</f>
        <v>0</v>
      </c>
      <c r="X25" s="84">
        <f>IF($B25="",0,IF(OR(الحضور!$N27="W",الحضور!$N27="PH"),W25+1,0))</f>
        <v>0</v>
      </c>
      <c r="Y25" s="84">
        <f>IF($B25="",0,IF(OR(الحضور!$O27="W",الحضور!$O27="PH"),X25+1,0))</f>
        <v>0</v>
      </c>
      <c r="Z25" s="84">
        <f>IF($B25="",0,IF(OR(الحضور!$P27="W",الحضور!$P27="PH"),Y25+1,0))</f>
        <v>0</v>
      </c>
      <c r="AA25" s="84">
        <f>IF($B25="",0,IF(OR(الحضور!$Q27="W",الحضور!$Q27="PH"),Z25+1,0))</f>
        <v>0</v>
      </c>
      <c r="AB25" s="84">
        <f>IF($B25="",0,IF(OR(الحضور!$R27="W",الحضور!$R27="PH"),AA25+1,0))</f>
        <v>1</v>
      </c>
      <c r="AC25" s="84">
        <f>IF($B25="",0,IF(OR(الحضور!$S27="W",الحضور!$S27="PH"),AB25+1,0))</f>
        <v>2</v>
      </c>
      <c r="AD25" s="84">
        <f>IF($B25="",0,IF(OR(الحضور!$T27="W",الحضور!$T27="PH"),AC25+1,0))</f>
        <v>0</v>
      </c>
      <c r="AE25" s="84">
        <f>IF($B25="",0,IF(OR(الحضور!$U27="W",الحضور!$U27="PH"),AD25+1,0))</f>
        <v>0</v>
      </c>
      <c r="AF25" s="84">
        <f>IF($B25="",0,IF(OR(الحضور!$V27="W",الحضور!$V27="PH"),AE25+1,0))</f>
        <v>0</v>
      </c>
      <c r="AG25" s="84">
        <f>IF($B25="",0,IF(OR(الحضور!$W27="W",الحضور!$W27="PH"),AF25+1,0))</f>
        <v>0</v>
      </c>
      <c r="AH25" s="84">
        <f>IF($B25="",0,IF(OR(الحضور!$X27="W",الحضور!$X27="PH"),AG25+1,0))</f>
        <v>0</v>
      </c>
      <c r="AI25" s="84">
        <f>IF($B25="",0,IF(OR(الحضور!$Y27="W",الحضور!$Y27="PH"),AH25+1,0))</f>
        <v>1</v>
      </c>
      <c r="AJ25" s="84">
        <f>IF($B25="",0,IF(OR(الحضور!$Z27="W",الحضور!$Z27="PH"),AI25+1,0))</f>
        <v>2</v>
      </c>
      <c r="AK25" s="84">
        <f>IF($B25="",0,IF(OR(الحضور!$AA27="W",الحضور!$AA27="PH"),AJ25+1,0))</f>
        <v>0</v>
      </c>
      <c r="AL25" s="84">
        <f>IF($B25="",0,IF(OR(الحضور!$AB27="W",الحضور!$AB27="PH"),AK25+1,0))</f>
        <v>0</v>
      </c>
      <c r="AM25" s="84">
        <f>IF($B25="",0,IF(OR(الحضور!$AC27="W",الحضور!$AC27="PH"),AL25+1,0))</f>
        <v>0</v>
      </c>
      <c r="AN25" s="84">
        <f>IF($B25="",0,IF(OR(الحضور!$AD27="W",الحضور!$AD27="PH"),AM25+1,0))</f>
        <v>0</v>
      </c>
      <c r="AO25" s="84">
        <f>IF($B25="",0,IF(OR(الحضور!$AE27="W",الحضور!$AE27="PH"),AN25+1,0))</f>
        <v>0</v>
      </c>
      <c r="AP25" s="84">
        <f>IF($B25="",0,IF(OR(الحضور!$AF27="W",الحضور!$AF27="PH"),AO25+1,0))</f>
        <v>1</v>
      </c>
      <c r="AQ25" s="84">
        <f>IF($B25="",0,IF(OR(الحضور!$AG27="W",الحضور!$AG27="PH"),AP25+1,0))</f>
        <v>2</v>
      </c>
      <c r="AR25" s="84">
        <f>IF($B25="",0,IF(OR(الحضور!$AH27="W",الحضور!$AH27="PH"),AQ25+1,0))</f>
        <v>0</v>
      </c>
      <c r="AS25" s="84">
        <f>IF($B25="",0,IF(OR(الحضور!$AI27="W",الحضور!$AI27="PH"),AR25+1,0))</f>
        <v>0</v>
      </c>
      <c r="AT25" s="84">
        <f>IF($B25="",0,IF(OR(الحضور!$AJ27="W",الحضور!$AJ27="PH"),AS25+1,0))</f>
        <v>0</v>
      </c>
      <c r="AU25" s="84">
        <f>IF($B25="",0,IF(OR(الحضور!$AK27="W",الحضور!$AK27="PH"),AT25+1,0))</f>
        <v>0</v>
      </c>
      <c r="AV25" s="84">
        <f>IF($B25="",0,IF(OR(الحضور!$AL27="W",الحضور!$AL27="PH"),AU25+1,0))</f>
        <v>0</v>
      </c>
      <c r="AW25" s="84">
        <f>IF($B25="",0,IF(OR(الحضور!$AM27="W",الحضور!$AM27="PH"),AV25+1,0))</f>
        <v>1</v>
      </c>
      <c r="AX25" s="84">
        <f>IF($B25="",0,IF(OR(الحضور!$AN27="W",الحضور!$AN27="PH"),AW25+1,0))</f>
        <v>2</v>
      </c>
      <c r="AY25" s="84">
        <f>IF($B25="",0,IF(OR(الحضور!$AO27="W",الحضور!$AO27="PH"),AX25+1,0))</f>
        <v>0</v>
      </c>
      <c r="AZ25" s="84">
        <f>IF($B25="",0,IF(OR(الحضور!$AP27="W",الحضور!$AP27="PH"),AY25+1,0))</f>
        <v>0</v>
      </c>
      <c r="BB25" s="84">
        <f>IF($B25="",0,IF(الحضور!$L27="A",0+0+1,IF(OR(الحضور!$L27="W",الحضور!$L27="PH"),0,0)))</f>
        <v>0</v>
      </c>
      <c r="BC25" s="84">
        <f>IF($B25="",0,IF(الحضور!$M27="A",BB25+V25+1,IF(OR(الحضور!$M27="W",الحضور!$M27="PH"),BB25,0)))</f>
        <v>0</v>
      </c>
      <c r="BD25" s="84">
        <f>IF($B25="",0,IF(الحضور!$N27="A",BC25+W25+1,IF(OR(الحضور!$N27="W",الحضور!$N27="PH"),BC25,0)))</f>
        <v>0</v>
      </c>
      <c r="BE25" s="84">
        <f>IF($B25="",0,IF(الحضور!$O27="A",BD25+X25+1,IF(OR(الحضور!$O27="W",الحضور!$O27="PH"),BD25,0)))</f>
        <v>0</v>
      </c>
      <c r="BF25" s="84">
        <f>IF($B25="",0,IF(الحضور!$P27="A",BE25+Y25+1,IF(OR(الحضور!$P27="W",الحضور!$P27="PH"),BE25,0)))</f>
        <v>0</v>
      </c>
      <c r="BG25" s="84">
        <f>IF($B25="",0,IF(الحضور!$Q27="A",BF25+Z25+1,IF(OR(الحضور!$Q27="W",الحضور!$Q27="PH"),BF25,0)))</f>
        <v>0</v>
      </c>
      <c r="BH25" s="84">
        <f>IF($B25="",0,IF(الحضور!$R27="A",BG25+AA25+1,IF(OR(الحضور!$R27="W",الحضور!$R27="PH"),BG25,0)))</f>
        <v>0</v>
      </c>
      <c r="BI25" s="84">
        <f>IF($B25="",0,IF(الحضور!$S27="A",BH25+AB25+1,IF(OR(الحضور!$S27="W",الحضور!$S27="PH"),BH25,0)))</f>
        <v>0</v>
      </c>
      <c r="BJ25" s="84">
        <f>IF($B25="",0,IF(الحضور!$T27="A",BI25+AC25+1,IF(OR(الحضور!$T27="W",الحضور!$T27="PH"),BI25,0)))</f>
        <v>0</v>
      </c>
      <c r="BK25" s="84">
        <f>IF($B25="",0,IF(الحضور!$U27="A",BJ25+AD25+1,IF(OR(الحضور!$U27="W",الحضور!$U27="PH"),BJ25,0)))</f>
        <v>0</v>
      </c>
      <c r="BL25" s="84">
        <f>IF($B25="",0,IF(الحضور!$V27="A",BK25+AE25+1,IF(OR(الحضور!$V27="W",الحضور!$V27="PH"),BK25,0)))</f>
        <v>0</v>
      </c>
      <c r="BM25" s="84">
        <f>IF($B25="",0,IF(الحضور!$W27="A",BL25+AF25+1,IF(OR(الحضور!$W27="W",الحضور!$W27="PH"),BL25,0)))</f>
        <v>0</v>
      </c>
      <c r="BN25" s="84">
        <f>IF($B25="",0,IF(الحضور!$X27="A",BM25+AG25+1,IF(OR(الحضور!$X27="W",الحضور!$X27="PH"),BM25,0)))</f>
        <v>0</v>
      </c>
      <c r="BO25" s="84">
        <f>IF($B25="",0,IF(الحضور!$Y27="A",BN25+AH25+1,IF(OR(الحضور!$Y27="W",الحضور!$Y27="PH"),BN25,0)))</f>
        <v>0</v>
      </c>
      <c r="BP25" s="84">
        <f>IF($B25="",0,IF(الحضور!$Z27="A",BO25+AI25+1,IF(OR(الحضور!$Z27="W",الحضور!$Z27="PH"),BO25,0)))</f>
        <v>0</v>
      </c>
      <c r="BQ25" s="84">
        <f>IF($B25="",0,IF(الحضور!$AA27="A",BP25+AJ25+1,IF(OR(الحضور!$AA27="W",الحضور!$AA27="PH"),BP25,0)))</f>
        <v>0</v>
      </c>
      <c r="BR25" s="84">
        <f>IF($B25="",0,IF(الحضور!$AB27="A",BQ25+AK25+1,IF(OR(الحضور!$AB27="W",الحضور!$AB27="PH"),BQ25,0)))</f>
        <v>0</v>
      </c>
      <c r="BS25" s="84">
        <f>IF($B25="",0,IF(الحضور!$AC27="A",BR25+AL25+1,IF(OR(الحضور!$AC27="W",الحضور!$AC27="PH"),BR25,0)))</f>
        <v>0</v>
      </c>
      <c r="BT25" s="84">
        <f>IF($B25="",0,IF(الحضور!$AD27="A",BS25+AM25+1,IF(OR(الحضور!$AD27="W",الحضور!$AD27="PH"),BS25,0)))</f>
        <v>0</v>
      </c>
      <c r="BU25" s="84">
        <f>IF($B25="",0,IF(الحضور!$AE27="A",BT25+AN25+1,IF(OR(الحضور!$AE27="W",الحضور!$AE27="PH"),BT25,0)))</f>
        <v>0</v>
      </c>
      <c r="BV25" s="84">
        <f>IF($B25="",0,IF(الحضور!$AF27="A",BU25+AO25+1,IF(OR(الحضور!$AF27="W",الحضور!$AF27="PH"),BU25,0)))</f>
        <v>0</v>
      </c>
      <c r="BW25" s="84">
        <f>IF($B25="",0,IF(الحضور!$AG27="A",BV25+AP25+1,IF(OR(الحضور!$AG27="W",الحضور!$AG27="PH"),BV25,0)))</f>
        <v>0</v>
      </c>
      <c r="BX25" s="84">
        <f>IF($B25="",0,IF(الحضور!$AH27="A",BW25+AQ25+1,IF(OR(الحضور!$AH27="W",الحضور!$AH27="PH"),BW25,0)))</f>
        <v>0</v>
      </c>
      <c r="BY25" s="84">
        <f>IF($B25="",0,IF(الحضور!$AI27="A",BX25+AR25+1,IF(OR(الحضور!$AI27="W",الحضور!$AI27="PH"),BX25,0)))</f>
        <v>0</v>
      </c>
      <c r="BZ25" s="84">
        <f>IF($B25="",0,IF(الحضور!$AJ27="A",BY25+AS25+1,IF(OR(الحضور!$AJ27="W",الحضور!$AJ27="PH"),BY25,0)))</f>
        <v>0</v>
      </c>
      <c r="CA25" s="84">
        <f>IF($B25="",0,IF(الحضور!$AK27="A",BZ25+AT25+1,IF(OR(الحضور!$AK27="W",الحضور!$AK27="PH"),BZ25,0)))</f>
        <v>0</v>
      </c>
      <c r="CB25" s="84">
        <f>IF($B25="",0,IF(الحضور!$AL27="A",CA25+AU25+1,IF(OR(الحضور!$AL27="W",الحضور!$AL27="PH"),CA25,0)))</f>
        <v>0</v>
      </c>
      <c r="CC25" s="84">
        <f>IF($B25="",0,IF(الحضور!$AM27="A",CB25+AV25+1,IF(OR(الحضور!$AM27="W",الحضور!$AM27="PH"),CB25,0)))</f>
        <v>0</v>
      </c>
      <c r="CD25" s="84">
        <f>IF($B25="",0,IF(الحضور!$AN27="A",CC25+AW25+1,IF(OR(الحضور!$AN27="W",الحضور!$AN27="PH"),CC25,0)))</f>
        <v>0</v>
      </c>
      <c r="CE25" s="84">
        <f>IF($B25="",0,IF(الحضور!$AO27="A",CD25+AX25+1,IF(OR(الحضور!$AO27="W",الحضور!$AO27="PH"),CD25,0)))</f>
        <v>0</v>
      </c>
      <c r="CF25" s="84">
        <f>IF($B25="",0,IF(الحضور!$AP27="A",CE25+AY25+1,IF(OR(الحضور!$AP27="W",الحضور!$AP27="PH"),CE25,0)))</f>
        <v>0</v>
      </c>
    </row>
    <row r="26" spans="1:84" ht="16.5" customHeight="1" x14ac:dyDescent="0.35">
      <c r="A26" s="18">
        <v>21</v>
      </c>
      <c r="B26" s="62" t="str">
        <f>IF(الموظفون!$B26="","",الموظفون!$B26)</f>
        <v>EMP-021</v>
      </c>
      <c r="C26" s="61" t="str">
        <f>IF($B26="","",الموظفون!$C26)</f>
        <v>مصطفى فهمي عبد الجواد</v>
      </c>
      <c r="D26" s="32"/>
      <c r="E26" s="32"/>
      <c r="F26" s="32"/>
      <c r="G26" s="32"/>
      <c r="H26" s="32"/>
      <c r="I26" s="32"/>
      <c r="J26" s="32"/>
      <c r="K26" s="32"/>
      <c r="L26" s="32"/>
      <c r="M26" s="32"/>
      <c r="N26" s="32"/>
      <c r="O26" s="32"/>
      <c r="P26" s="34">
        <f>IF($B26="","",SUM($D26:$O26)+IF(INDEX($D26:$O26,1,الإعدادات!$C$13)="",$Q26,0))</f>
        <v>0</v>
      </c>
      <c r="Q26" s="51">
        <f>IF($B26="","",الحضور!$G28)</f>
        <v>0</v>
      </c>
      <c r="R26" s="34">
        <f t="shared" si="0"/>
        <v>0</v>
      </c>
      <c r="S26" s="32"/>
      <c r="T26" s="61" t="str">
        <f>IF($B26="","",IF(OR($R26&gt;الإعدادات!$C$36,$S26&gt;الإعدادات!$C$36),"تجاوز حد الإنهاء — غياب متصل",IF($P26&gt;الإعدادات!$C$37,"تجاوز حد الإنهاء — غياب متقطع",IF(OR($R26&gt;=الإعدادات!$C$34,$S26&gt;=الإعدادات!$C$34),"إنذار كتابي واجب — غياب متصل",IF($P26&gt;=الإعدادات!$C$35,"إنذار كتابي واجب — غياب متقطع","سليم")))))</f>
        <v>سليم</v>
      </c>
      <c r="V26" s="84">
        <f>IF($B26="",0,IF(OR(الحضور!$L28="W",الحضور!$L28="PH"),0+1,0))</f>
        <v>1</v>
      </c>
      <c r="W26" s="84">
        <f>IF($B26="",0,IF(OR(الحضور!$M28="W",الحضور!$M28="PH"),V26+1,0))</f>
        <v>0</v>
      </c>
      <c r="X26" s="84">
        <f>IF($B26="",0,IF(OR(الحضور!$N28="W",الحضور!$N28="PH"),W26+1,0))</f>
        <v>0</v>
      </c>
      <c r="Y26" s="84">
        <f>IF($B26="",0,IF(OR(الحضور!$O28="W",الحضور!$O28="PH"),X26+1,0))</f>
        <v>0</v>
      </c>
      <c r="Z26" s="84">
        <f>IF($B26="",0,IF(OR(الحضور!$P28="W",الحضور!$P28="PH"),Y26+1,0))</f>
        <v>0</v>
      </c>
      <c r="AA26" s="84">
        <f>IF($B26="",0,IF(OR(الحضور!$Q28="W",الحضور!$Q28="PH"),Z26+1,0))</f>
        <v>0</v>
      </c>
      <c r="AB26" s="84">
        <f>IF($B26="",0,IF(OR(الحضور!$R28="W",الحضور!$R28="PH"),AA26+1,0))</f>
        <v>1</v>
      </c>
      <c r="AC26" s="84">
        <f>IF($B26="",0,IF(OR(الحضور!$S28="W",الحضور!$S28="PH"),AB26+1,0))</f>
        <v>2</v>
      </c>
      <c r="AD26" s="84">
        <f>IF($B26="",0,IF(OR(الحضور!$T28="W",الحضور!$T28="PH"),AC26+1,0))</f>
        <v>0</v>
      </c>
      <c r="AE26" s="84">
        <f>IF($B26="",0,IF(OR(الحضور!$U28="W",الحضور!$U28="PH"),AD26+1,0))</f>
        <v>0</v>
      </c>
      <c r="AF26" s="84">
        <f>IF($B26="",0,IF(OR(الحضور!$V28="W",الحضور!$V28="PH"),AE26+1,0))</f>
        <v>0</v>
      </c>
      <c r="AG26" s="84">
        <f>IF($B26="",0,IF(OR(الحضور!$W28="W",الحضور!$W28="PH"),AF26+1,0))</f>
        <v>0</v>
      </c>
      <c r="AH26" s="84">
        <f>IF($B26="",0,IF(OR(الحضور!$X28="W",الحضور!$X28="PH"),AG26+1,0))</f>
        <v>0</v>
      </c>
      <c r="AI26" s="84">
        <f>IF($B26="",0,IF(OR(الحضور!$Y28="W",الحضور!$Y28="PH"),AH26+1,0))</f>
        <v>1</v>
      </c>
      <c r="AJ26" s="84">
        <f>IF($B26="",0,IF(OR(الحضور!$Z28="W",الحضور!$Z28="PH"),AI26+1,0))</f>
        <v>2</v>
      </c>
      <c r="AK26" s="84">
        <f>IF($B26="",0,IF(OR(الحضور!$AA28="W",الحضور!$AA28="PH"),AJ26+1,0))</f>
        <v>0</v>
      </c>
      <c r="AL26" s="84">
        <f>IF($B26="",0,IF(OR(الحضور!$AB28="W",الحضور!$AB28="PH"),AK26+1,0))</f>
        <v>0</v>
      </c>
      <c r="AM26" s="84">
        <f>IF($B26="",0,IF(OR(الحضور!$AC28="W",الحضور!$AC28="PH"),AL26+1,0))</f>
        <v>0</v>
      </c>
      <c r="AN26" s="84">
        <f>IF($B26="",0,IF(OR(الحضور!$AD28="W",الحضور!$AD28="PH"),AM26+1,0))</f>
        <v>0</v>
      </c>
      <c r="AO26" s="84">
        <f>IF($B26="",0,IF(OR(الحضور!$AE28="W",الحضور!$AE28="PH"),AN26+1,0))</f>
        <v>0</v>
      </c>
      <c r="AP26" s="84">
        <f>IF($B26="",0,IF(OR(الحضور!$AF28="W",الحضور!$AF28="PH"),AO26+1,0))</f>
        <v>1</v>
      </c>
      <c r="AQ26" s="84">
        <f>IF($B26="",0,IF(OR(الحضور!$AG28="W",الحضور!$AG28="PH"),AP26+1,0))</f>
        <v>2</v>
      </c>
      <c r="AR26" s="84">
        <f>IF($B26="",0,IF(OR(الحضور!$AH28="W",الحضور!$AH28="PH"),AQ26+1,0))</f>
        <v>0</v>
      </c>
      <c r="AS26" s="84">
        <f>IF($B26="",0,IF(OR(الحضور!$AI28="W",الحضور!$AI28="PH"),AR26+1,0))</f>
        <v>0</v>
      </c>
      <c r="AT26" s="84">
        <f>IF($B26="",0,IF(OR(الحضور!$AJ28="W",الحضور!$AJ28="PH"),AS26+1,0))</f>
        <v>0</v>
      </c>
      <c r="AU26" s="84">
        <f>IF($B26="",0,IF(OR(الحضور!$AK28="W",الحضور!$AK28="PH"),AT26+1,0))</f>
        <v>0</v>
      </c>
      <c r="AV26" s="84">
        <f>IF($B26="",0,IF(OR(الحضور!$AL28="W",الحضور!$AL28="PH"),AU26+1,0))</f>
        <v>0</v>
      </c>
      <c r="AW26" s="84">
        <f>IF($B26="",0,IF(OR(الحضور!$AM28="W",الحضور!$AM28="PH"),AV26+1,0))</f>
        <v>1</v>
      </c>
      <c r="AX26" s="84">
        <f>IF($B26="",0,IF(OR(الحضور!$AN28="W",الحضور!$AN28="PH"),AW26+1,0))</f>
        <v>2</v>
      </c>
      <c r="AY26" s="84">
        <f>IF($B26="",0,IF(OR(الحضور!$AO28="W",الحضور!$AO28="PH"),AX26+1,0))</f>
        <v>0</v>
      </c>
      <c r="AZ26" s="84">
        <f>IF($B26="",0,IF(OR(الحضور!$AP28="W",الحضور!$AP28="PH"),AY26+1,0))</f>
        <v>0</v>
      </c>
      <c r="BB26" s="84">
        <f>IF($B26="",0,IF(الحضور!$L28="A",0+0+1,IF(OR(الحضور!$L28="W",الحضور!$L28="PH"),0,0)))</f>
        <v>0</v>
      </c>
      <c r="BC26" s="84">
        <f>IF($B26="",0,IF(الحضور!$M28="A",BB26+V26+1,IF(OR(الحضور!$M28="W",الحضور!$M28="PH"),BB26,0)))</f>
        <v>0</v>
      </c>
      <c r="BD26" s="84">
        <f>IF($B26="",0,IF(الحضور!$N28="A",BC26+W26+1,IF(OR(الحضور!$N28="W",الحضور!$N28="PH"),BC26,0)))</f>
        <v>0</v>
      </c>
      <c r="BE26" s="84">
        <f>IF($B26="",0,IF(الحضور!$O28="A",BD26+X26+1,IF(OR(الحضور!$O28="W",الحضور!$O28="PH"),BD26,0)))</f>
        <v>0</v>
      </c>
      <c r="BF26" s="84">
        <f>IF($B26="",0,IF(الحضور!$P28="A",BE26+Y26+1,IF(OR(الحضور!$P28="W",الحضور!$P28="PH"),BE26,0)))</f>
        <v>0</v>
      </c>
      <c r="BG26" s="84">
        <f>IF($B26="",0,IF(الحضور!$Q28="A",BF26+Z26+1,IF(OR(الحضور!$Q28="W",الحضور!$Q28="PH"),BF26,0)))</f>
        <v>0</v>
      </c>
      <c r="BH26" s="84">
        <f>IF($B26="",0,IF(الحضور!$R28="A",BG26+AA26+1,IF(OR(الحضور!$R28="W",الحضور!$R28="PH"),BG26,0)))</f>
        <v>0</v>
      </c>
      <c r="BI26" s="84">
        <f>IF($B26="",0,IF(الحضور!$S28="A",BH26+AB26+1,IF(OR(الحضور!$S28="W",الحضور!$S28="PH"),BH26,0)))</f>
        <v>0</v>
      </c>
      <c r="BJ26" s="84">
        <f>IF($B26="",0,IF(الحضور!$T28="A",BI26+AC26+1,IF(OR(الحضور!$T28="W",الحضور!$T28="PH"),BI26,0)))</f>
        <v>0</v>
      </c>
      <c r="BK26" s="84">
        <f>IF($B26="",0,IF(الحضور!$U28="A",BJ26+AD26+1,IF(OR(الحضور!$U28="W",الحضور!$U28="PH"),BJ26,0)))</f>
        <v>0</v>
      </c>
      <c r="BL26" s="84">
        <f>IF($B26="",0,IF(الحضور!$V28="A",BK26+AE26+1,IF(OR(الحضور!$V28="W",الحضور!$V28="PH"),BK26,0)))</f>
        <v>0</v>
      </c>
      <c r="BM26" s="84">
        <f>IF($B26="",0,IF(الحضور!$W28="A",BL26+AF26+1,IF(OR(الحضور!$W28="W",الحضور!$W28="PH"),BL26,0)))</f>
        <v>0</v>
      </c>
      <c r="BN26" s="84">
        <f>IF($B26="",0,IF(الحضور!$X28="A",BM26+AG26+1,IF(OR(الحضور!$X28="W",الحضور!$X28="PH"),BM26,0)))</f>
        <v>0</v>
      </c>
      <c r="BO26" s="84">
        <f>IF($B26="",0,IF(الحضور!$Y28="A",BN26+AH26+1,IF(OR(الحضور!$Y28="W",الحضور!$Y28="PH"),BN26,0)))</f>
        <v>0</v>
      </c>
      <c r="BP26" s="84">
        <f>IF($B26="",0,IF(الحضور!$Z28="A",BO26+AI26+1,IF(OR(الحضور!$Z28="W",الحضور!$Z28="PH"),BO26,0)))</f>
        <v>0</v>
      </c>
      <c r="BQ26" s="84">
        <f>IF($B26="",0,IF(الحضور!$AA28="A",BP26+AJ26+1,IF(OR(الحضور!$AA28="W",الحضور!$AA28="PH"),BP26,0)))</f>
        <v>0</v>
      </c>
      <c r="BR26" s="84">
        <f>IF($B26="",0,IF(الحضور!$AB28="A",BQ26+AK26+1,IF(OR(الحضور!$AB28="W",الحضور!$AB28="PH"),BQ26,0)))</f>
        <v>0</v>
      </c>
      <c r="BS26" s="84">
        <f>IF($B26="",0,IF(الحضور!$AC28="A",BR26+AL26+1,IF(OR(الحضور!$AC28="W",الحضور!$AC28="PH"),BR26,0)))</f>
        <v>0</v>
      </c>
      <c r="BT26" s="84">
        <f>IF($B26="",0,IF(الحضور!$AD28="A",BS26+AM26+1,IF(OR(الحضور!$AD28="W",الحضور!$AD28="PH"),BS26,0)))</f>
        <v>0</v>
      </c>
      <c r="BU26" s="84">
        <f>IF($B26="",0,IF(الحضور!$AE28="A",BT26+AN26+1,IF(OR(الحضور!$AE28="W",الحضور!$AE28="PH"),BT26,0)))</f>
        <v>0</v>
      </c>
      <c r="BV26" s="84">
        <f>IF($B26="",0,IF(الحضور!$AF28="A",BU26+AO26+1,IF(OR(الحضور!$AF28="W",الحضور!$AF28="PH"),BU26,0)))</f>
        <v>0</v>
      </c>
      <c r="BW26" s="84">
        <f>IF($B26="",0,IF(الحضور!$AG28="A",BV26+AP26+1,IF(OR(الحضور!$AG28="W",الحضور!$AG28="PH"),BV26,0)))</f>
        <v>0</v>
      </c>
      <c r="BX26" s="84">
        <f>IF($B26="",0,IF(الحضور!$AH28="A",BW26+AQ26+1,IF(OR(الحضور!$AH28="W",الحضور!$AH28="PH"),BW26,0)))</f>
        <v>0</v>
      </c>
      <c r="BY26" s="84">
        <f>IF($B26="",0,IF(الحضور!$AI28="A",BX26+AR26+1,IF(OR(الحضور!$AI28="W",الحضور!$AI28="PH"),BX26,0)))</f>
        <v>0</v>
      </c>
      <c r="BZ26" s="84">
        <f>IF($B26="",0,IF(الحضور!$AJ28="A",BY26+AS26+1,IF(OR(الحضور!$AJ28="W",الحضور!$AJ28="PH"),BY26,0)))</f>
        <v>0</v>
      </c>
      <c r="CA26" s="84">
        <f>IF($B26="",0,IF(الحضور!$AK28="A",BZ26+AT26+1,IF(OR(الحضور!$AK28="W",الحضور!$AK28="PH"),BZ26,0)))</f>
        <v>0</v>
      </c>
      <c r="CB26" s="84">
        <f>IF($B26="",0,IF(الحضور!$AL28="A",CA26+AU26+1,IF(OR(الحضور!$AL28="W",الحضور!$AL28="PH"),CA26,0)))</f>
        <v>0</v>
      </c>
      <c r="CC26" s="84">
        <f>IF($B26="",0,IF(الحضور!$AM28="A",CB26+AV26+1,IF(OR(الحضور!$AM28="W",الحضور!$AM28="PH"),CB26,0)))</f>
        <v>0</v>
      </c>
      <c r="CD26" s="84">
        <f>IF($B26="",0,IF(الحضور!$AN28="A",CC26+AW26+1,IF(OR(الحضور!$AN28="W",الحضور!$AN28="PH"),CC26,0)))</f>
        <v>0</v>
      </c>
      <c r="CE26" s="84">
        <f>IF($B26="",0,IF(الحضور!$AO28="A",CD26+AX26+1,IF(OR(الحضور!$AO28="W",الحضور!$AO28="PH"),CD26,0)))</f>
        <v>0</v>
      </c>
      <c r="CF26" s="84">
        <f>IF($B26="",0,IF(الحضور!$AP28="A",CE26+AY26+1,IF(OR(الحضور!$AP28="W",الحضور!$AP28="PH"),CE26,0)))</f>
        <v>0</v>
      </c>
    </row>
    <row r="27" spans="1:84" ht="16.5" customHeight="1" x14ac:dyDescent="0.35">
      <c r="A27" s="18">
        <v>22</v>
      </c>
      <c r="B27" s="62" t="str">
        <f>IF(الموظفون!$B27="","",الموظفون!$B27)</f>
        <v>EMP-022</v>
      </c>
      <c r="C27" s="61" t="str">
        <f>IF($B27="","",الموظفون!$C27)</f>
        <v>تركي العنزي</v>
      </c>
      <c r="D27" s="32"/>
      <c r="E27" s="32"/>
      <c r="F27" s="32"/>
      <c r="G27" s="32"/>
      <c r="H27" s="32"/>
      <c r="I27" s="32"/>
      <c r="J27" s="32"/>
      <c r="K27" s="32"/>
      <c r="L27" s="32"/>
      <c r="M27" s="32"/>
      <c r="N27" s="32"/>
      <c r="O27" s="32"/>
      <c r="P27" s="34">
        <f>IF($B27="","",SUM($D27:$O27)+IF(INDEX($D27:$O27,1,الإعدادات!$C$13)="",$Q27,0))</f>
        <v>13</v>
      </c>
      <c r="Q27" s="51">
        <f>IF($B27="","",الحضور!$G29)</f>
        <v>13</v>
      </c>
      <c r="R27" s="34">
        <f t="shared" si="0"/>
        <v>16</v>
      </c>
      <c r="S27" s="32"/>
      <c r="T27" s="61" t="str">
        <f>IF($B27="","",IF(OR($R27&gt;الإعدادات!$C$36,$S27&gt;الإعدادات!$C$36),"تجاوز حد الإنهاء — غياب متصل",IF($P27&gt;الإعدادات!$C$37,"تجاوز حد الإنهاء — غياب متقطع",IF(OR($R27&gt;=الإعدادات!$C$34,$S27&gt;=الإعدادات!$C$34),"إنذار كتابي واجب — غياب متصل",IF($P27&gt;=الإعدادات!$C$35,"إنذار كتابي واجب — غياب متقطع","سليم")))))</f>
        <v>تجاوز حد الإنهاء — غياب متصل</v>
      </c>
      <c r="V27" s="84">
        <f>IF($B27="",0,IF(OR(الحضور!$L29="W",الحضور!$L29="PH"),0+1,0))</f>
        <v>1</v>
      </c>
      <c r="W27" s="84">
        <f>IF($B27="",0,IF(OR(الحضور!$M29="W",الحضور!$M29="PH"),V27+1,0))</f>
        <v>0</v>
      </c>
      <c r="X27" s="84">
        <f>IF($B27="",0,IF(OR(الحضور!$N29="W",الحضور!$N29="PH"),W27+1,0))</f>
        <v>0</v>
      </c>
      <c r="Y27" s="84">
        <f>IF($B27="",0,IF(OR(الحضور!$O29="W",الحضور!$O29="PH"),X27+1,0))</f>
        <v>0</v>
      </c>
      <c r="Z27" s="84">
        <f>IF($B27="",0,IF(OR(الحضور!$P29="W",الحضور!$P29="PH"),Y27+1,0))</f>
        <v>0</v>
      </c>
      <c r="AA27" s="84">
        <f>IF($B27="",0,IF(OR(الحضور!$Q29="W",الحضور!$Q29="PH"),Z27+1,0))</f>
        <v>0</v>
      </c>
      <c r="AB27" s="84">
        <f>IF($B27="",0,IF(OR(الحضور!$R29="W",الحضور!$R29="PH"),AA27+1,0))</f>
        <v>1</v>
      </c>
      <c r="AC27" s="84">
        <f>IF($B27="",0,IF(OR(الحضور!$S29="W",الحضور!$S29="PH"),AB27+1,0))</f>
        <v>2</v>
      </c>
      <c r="AD27" s="84">
        <f>IF($B27="",0,IF(OR(الحضور!$T29="W",الحضور!$T29="PH"),AC27+1,0))</f>
        <v>0</v>
      </c>
      <c r="AE27" s="84">
        <f>IF($B27="",0,IF(OR(الحضور!$U29="W",الحضور!$U29="PH"),AD27+1,0))</f>
        <v>0</v>
      </c>
      <c r="AF27" s="84">
        <f>IF($B27="",0,IF(OR(الحضور!$V29="W",الحضور!$V29="PH"),AE27+1,0))</f>
        <v>0</v>
      </c>
      <c r="AG27" s="84">
        <f>IF($B27="",0,IF(OR(الحضور!$W29="W",الحضور!$W29="PH"),AF27+1,0))</f>
        <v>0</v>
      </c>
      <c r="AH27" s="84">
        <f>IF($B27="",0,IF(OR(الحضور!$X29="W",الحضور!$X29="PH"),AG27+1,0))</f>
        <v>0</v>
      </c>
      <c r="AI27" s="84">
        <f>IF($B27="",0,IF(OR(الحضور!$Y29="W",الحضور!$Y29="PH"),AH27+1,0))</f>
        <v>1</v>
      </c>
      <c r="AJ27" s="84">
        <f>IF($B27="",0,IF(OR(الحضور!$Z29="W",الحضور!$Z29="PH"),AI27+1,0))</f>
        <v>2</v>
      </c>
      <c r="AK27" s="84">
        <f>IF($B27="",0,IF(OR(الحضور!$AA29="W",الحضور!$AA29="PH"),AJ27+1,0))</f>
        <v>0</v>
      </c>
      <c r="AL27" s="84">
        <f>IF($B27="",0,IF(OR(الحضور!$AB29="W",الحضور!$AB29="PH"),AK27+1,0))</f>
        <v>0</v>
      </c>
      <c r="AM27" s="84">
        <f>IF($B27="",0,IF(OR(الحضور!$AC29="W",الحضور!$AC29="PH"),AL27+1,0))</f>
        <v>0</v>
      </c>
      <c r="AN27" s="84">
        <f>IF($B27="",0,IF(OR(الحضور!$AD29="W",الحضور!$AD29="PH"),AM27+1,0))</f>
        <v>0</v>
      </c>
      <c r="AO27" s="84">
        <f>IF($B27="",0,IF(OR(الحضور!$AE29="W",الحضور!$AE29="PH"),AN27+1,0))</f>
        <v>0</v>
      </c>
      <c r="AP27" s="84">
        <f>IF($B27="",0,IF(OR(الحضور!$AF29="W",الحضور!$AF29="PH"),AO27+1,0))</f>
        <v>1</v>
      </c>
      <c r="AQ27" s="84">
        <f>IF($B27="",0,IF(OR(الحضور!$AG29="W",الحضور!$AG29="PH"),AP27+1,0))</f>
        <v>2</v>
      </c>
      <c r="AR27" s="84">
        <f>IF($B27="",0,IF(OR(الحضور!$AH29="W",الحضور!$AH29="PH"),AQ27+1,0))</f>
        <v>0</v>
      </c>
      <c r="AS27" s="84">
        <f>IF($B27="",0,IF(OR(الحضور!$AI29="W",الحضور!$AI29="PH"),AR27+1,0))</f>
        <v>0</v>
      </c>
      <c r="AT27" s="84">
        <f>IF($B27="",0,IF(OR(الحضور!$AJ29="W",الحضور!$AJ29="PH"),AS27+1,0))</f>
        <v>0</v>
      </c>
      <c r="AU27" s="84">
        <f>IF($B27="",0,IF(OR(الحضور!$AK29="W",الحضور!$AK29="PH"),AT27+1,0))</f>
        <v>0</v>
      </c>
      <c r="AV27" s="84">
        <f>IF($B27="",0,IF(OR(الحضور!$AL29="W",الحضور!$AL29="PH"),AU27+1,0))</f>
        <v>0</v>
      </c>
      <c r="AW27" s="84">
        <f>IF($B27="",0,IF(OR(الحضور!$AM29="W",الحضور!$AM29="PH"),AV27+1,0))</f>
        <v>1</v>
      </c>
      <c r="AX27" s="84">
        <f>IF($B27="",0,IF(OR(الحضور!$AN29="W",الحضور!$AN29="PH"),AW27+1,0))</f>
        <v>2</v>
      </c>
      <c r="AY27" s="84">
        <f>IF($B27="",0,IF(OR(الحضور!$AO29="W",الحضور!$AO29="PH"),AX27+1,0))</f>
        <v>0</v>
      </c>
      <c r="AZ27" s="84">
        <f>IF($B27="",0,IF(OR(الحضور!$AP29="W",الحضور!$AP29="PH"),AY27+1,0))</f>
        <v>0</v>
      </c>
      <c r="BB27" s="84">
        <f>IF($B27="",0,IF(الحضور!$L29="A",0+0+1,IF(OR(الحضور!$L29="W",الحضور!$L29="PH"),0,0)))</f>
        <v>0</v>
      </c>
      <c r="BC27" s="84">
        <f>IF($B27="",0,IF(الحضور!$M29="A",BB27+V27+1,IF(OR(الحضور!$M29="W",الحضور!$M29="PH"),BB27,0)))</f>
        <v>0</v>
      </c>
      <c r="BD27" s="84">
        <f>IF($B27="",0,IF(الحضور!$N29="A",BC27+W27+1,IF(OR(الحضور!$N29="W",الحضور!$N29="PH"),BC27,0)))</f>
        <v>0</v>
      </c>
      <c r="BE27" s="84">
        <f>IF($B27="",0,IF(الحضور!$O29="A",BD27+X27+1,IF(OR(الحضور!$O29="W",الحضور!$O29="PH"),BD27,0)))</f>
        <v>0</v>
      </c>
      <c r="BF27" s="84">
        <f>IF($B27="",0,IF(الحضور!$P29="A",BE27+Y27+1,IF(OR(الحضور!$P29="W",الحضور!$P29="PH"),BE27,0)))</f>
        <v>0</v>
      </c>
      <c r="BG27" s="84">
        <f>IF($B27="",0,IF(الحضور!$Q29="A",BF27+Z27+1,IF(OR(الحضور!$Q29="W",الحضور!$Q29="PH"),BF27,0)))</f>
        <v>0</v>
      </c>
      <c r="BH27" s="84">
        <f>IF($B27="",0,IF(الحضور!$R29="A",BG27+AA27+1,IF(OR(الحضور!$R29="W",الحضور!$R29="PH"),BG27,0)))</f>
        <v>0</v>
      </c>
      <c r="BI27" s="84">
        <f>IF($B27="",0,IF(الحضور!$S29="A",BH27+AB27+1,IF(OR(الحضور!$S29="W",الحضور!$S29="PH"),BH27,0)))</f>
        <v>0</v>
      </c>
      <c r="BJ27" s="84">
        <f>IF($B27="",0,IF(الحضور!$T29="A",BI27+AC27+1,IF(OR(الحضور!$T29="W",الحضور!$T29="PH"),BI27,0)))</f>
        <v>0</v>
      </c>
      <c r="BK27" s="84">
        <f>IF($B27="",0,IF(الحضور!$U29="A",BJ27+AD27+1,IF(OR(الحضور!$U29="W",الحضور!$U29="PH"),BJ27,0)))</f>
        <v>1</v>
      </c>
      <c r="BL27" s="84">
        <f>IF($B27="",0,IF(الحضور!$V29="A",BK27+AE27+1,IF(OR(الحضور!$V29="W",الحضور!$V29="PH"),BK27,0)))</f>
        <v>2</v>
      </c>
      <c r="BM27" s="84">
        <f>IF($B27="",0,IF(الحضور!$W29="A",BL27+AF27+1,IF(OR(الحضور!$W29="W",الحضور!$W29="PH"),BL27,0)))</f>
        <v>3</v>
      </c>
      <c r="BN27" s="84">
        <f>IF($B27="",0,IF(الحضور!$X29="A",BM27+AG27+1,IF(OR(الحضور!$X29="W",الحضور!$X29="PH"),BM27,0)))</f>
        <v>4</v>
      </c>
      <c r="BO27" s="84">
        <f>IF($B27="",0,IF(الحضور!$Y29="A",BN27+AH27+1,IF(OR(الحضور!$Y29="W",الحضور!$Y29="PH"),BN27,0)))</f>
        <v>4</v>
      </c>
      <c r="BP27" s="84">
        <f>IF($B27="",0,IF(الحضور!$Z29="A",BO27+AI27+1,IF(OR(الحضور!$Z29="W",الحضور!$Z29="PH"),BO27,0)))</f>
        <v>4</v>
      </c>
      <c r="BQ27" s="84">
        <f>IF($B27="",0,IF(الحضور!$AA29="A",BP27+AJ27+1,IF(OR(الحضور!$AA29="W",الحضور!$AA29="PH"),BP27,0)))</f>
        <v>7</v>
      </c>
      <c r="BR27" s="84">
        <f>IF($B27="",0,IF(الحضور!$AB29="A",BQ27+AK27+1,IF(OR(الحضور!$AB29="W",الحضور!$AB29="PH"),BQ27,0)))</f>
        <v>8</v>
      </c>
      <c r="BS27" s="84">
        <f>IF($B27="",0,IF(الحضور!$AC29="A",BR27+AL27+1,IF(OR(الحضور!$AC29="W",الحضور!$AC29="PH"),BR27,0)))</f>
        <v>9</v>
      </c>
      <c r="BT27" s="84">
        <f>IF($B27="",0,IF(الحضور!$AD29="A",BS27+AM27+1,IF(OR(الحضور!$AD29="W",الحضور!$AD29="PH"),BS27,0)))</f>
        <v>10</v>
      </c>
      <c r="BU27" s="84">
        <f>IF($B27="",0,IF(الحضور!$AE29="A",BT27+AN27+1,IF(OR(الحضور!$AE29="W",الحضور!$AE29="PH"),BT27,0)))</f>
        <v>11</v>
      </c>
      <c r="BV27" s="84">
        <f>IF($B27="",0,IF(الحضور!$AF29="A",BU27+AO27+1,IF(OR(الحضور!$AF29="W",الحضور!$AF29="PH"),BU27,0)))</f>
        <v>11</v>
      </c>
      <c r="BW27" s="84">
        <f>IF($B27="",0,IF(الحضور!$AG29="A",BV27+AP27+1,IF(OR(الحضور!$AG29="W",الحضور!$AG29="PH"),BV27,0)))</f>
        <v>11</v>
      </c>
      <c r="BX27" s="84">
        <f>IF($B27="",0,IF(الحضور!$AH29="A",BW27+AQ27+1,IF(OR(الحضور!$AH29="W",الحضور!$AH29="PH"),BW27,0)))</f>
        <v>14</v>
      </c>
      <c r="BY27" s="84">
        <f>IF($B27="",0,IF(الحضور!$AI29="A",BX27+AR27+1,IF(OR(الحضور!$AI29="W",الحضور!$AI29="PH"),BX27,0)))</f>
        <v>15</v>
      </c>
      <c r="BZ27" s="84">
        <f>IF($B27="",0,IF(الحضور!$AJ29="A",BY27+AS27+1,IF(OR(الحضور!$AJ29="W",الحضور!$AJ29="PH"),BY27,0)))</f>
        <v>16</v>
      </c>
      <c r="CA27" s="84">
        <f>IF($B27="",0,IF(الحضور!$AK29="A",BZ27+AT27+1,IF(OR(الحضور!$AK29="W",الحضور!$AK29="PH"),BZ27,0)))</f>
        <v>0</v>
      </c>
      <c r="CB27" s="84">
        <f>IF($B27="",0,IF(الحضور!$AL29="A",CA27+AU27+1,IF(OR(الحضور!$AL29="W",الحضور!$AL29="PH"),CA27,0)))</f>
        <v>1</v>
      </c>
      <c r="CC27" s="84">
        <f>IF($B27="",0,IF(الحضور!$AM29="A",CB27+AV27+1,IF(OR(الحضور!$AM29="W",الحضور!$AM29="PH"),CB27,0)))</f>
        <v>1</v>
      </c>
      <c r="CD27" s="84">
        <f>IF($B27="",0,IF(الحضور!$AN29="A",CC27+AW27+1,IF(OR(الحضور!$AN29="W",الحضور!$AN29="PH"),CC27,0)))</f>
        <v>1</v>
      </c>
      <c r="CE27" s="84">
        <f>IF($B27="",0,IF(الحضور!$AO29="A",CD27+AX27+1,IF(OR(الحضور!$AO29="W",الحضور!$AO29="PH"),CD27,0)))</f>
        <v>0</v>
      </c>
      <c r="CF27" s="84">
        <f>IF($B27="",0,IF(الحضور!$AP29="A",CE27+AY27+1,IF(OR(الحضور!$AP29="W",الحضور!$AP29="PH"),CE27,0)))</f>
        <v>0</v>
      </c>
    </row>
    <row r="28" spans="1:84" ht="16.5" customHeight="1" x14ac:dyDescent="0.35">
      <c r="A28" s="18">
        <v>23</v>
      </c>
      <c r="B28" s="62" t="str">
        <f>IF(الموظفون!$B28="","",الموظفون!$B28)</f>
        <v>EMP-023</v>
      </c>
      <c r="C28" s="61" t="str">
        <f>IF($B28="","",الموظفون!$C28)</f>
        <v>تامر النجار</v>
      </c>
      <c r="D28" s="32"/>
      <c r="E28" s="32"/>
      <c r="F28" s="32"/>
      <c r="G28" s="32"/>
      <c r="H28" s="32"/>
      <c r="I28" s="32"/>
      <c r="J28" s="32"/>
      <c r="K28" s="32"/>
      <c r="L28" s="32"/>
      <c r="M28" s="32"/>
      <c r="N28" s="32"/>
      <c r="O28" s="32"/>
      <c r="P28" s="34">
        <f>IF($B28="","",SUM($D28:$O28)+IF(INDEX($D28:$O28,1,الإعدادات!$C$13)="",$Q28,0))</f>
        <v>0</v>
      </c>
      <c r="Q28" s="51">
        <f>IF($B28="","",الحضور!$G30)</f>
        <v>0</v>
      </c>
      <c r="R28" s="34">
        <f t="shared" si="0"/>
        <v>0</v>
      </c>
      <c r="S28" s="32"/>
      <c r="T28" s="61" t="str">
        <f>IF($B28="","",IF(OR($R28&gt;الإعدادات!$C$36,$S28&gt;الإعدادات!$C$36),"تجاوز حد الإنهاء — غياب متصل",IF($P28&gt;الإعدادات!$C$37,"تجاوز حد الإنهاء — غياب متقطع",IF(OR($R28&gt;=الإعدادات!$C$34,$S28&gt;=الإعدادات!$C$34),"إنذار كتابي واجب — غياب متصل",IF($P28&gt;=الإعدادات!$C$35,"إنذار كتابي واجب — غياب متقطع","سليم")))))</f>
        <v>سليم</v>
      </c>
      <c r="V28" s="84">
        <f>IF($B28="",0,IF(OR(الحضور!$L30="W",الحضور!$L30="PH"),0+1,0))</f>
        <v>1</v>
      </c>
      <c r="W28" s="84">
        <f>IF($B28="",0,IF(OR(الحضور!$M30="W",الحضور!$M30="PH"),V28+1,0))</f>
        <v>0</v>
      </c>
      <c r="X28" s="84">
        <f>IF($B28="",0,IF(OR(الحضور!$N30="W",الحضور!$N30="PH"),W28+1,0))</f>
        <v>0</v>
      </c>
      <c r="Y28" s="84">
        <f>IF($B28="",0,IF(OR(الحضور!$O30="W",الحضور!$O30="PH"),X28+1,0))</f>
        <v>0</v>
      </c>
      <c r="Z28" s="84">
        <f>IF($B28="",0,IF(OR(الحضور!$P30="W",الحضور!$P30="PH"),Y28+1,0))</f>
        <v>0</v>
      </c>
      <c r="AA28" s="84">
        <f>IF($B28="",0,IF(OR(الحضور!$Q30="W",الحضور!$Q30="PH"),Z28+1,0))</f>
        <v>0</v>
      </c>
      <c r="AB28" s="84">
        <f>IF($B28="",0,IF(OR(الحضور!$R30="W",الحضور!$R30="PH"),AA28+1,0))</f>
        <v>1</v>
      </c>
      <c r="AC28" s="84">
        <f>IF($B28="",0,IF(OR(الحضور!$S30="W",الحضور!$S30="PH"),AB28+1,0))</f>
        <v>2</v>
      </c>
      <c r="AD28" s="84">
        <f>IF($B28="",0,IF(OR(الحضور!$T30="W",الحضور!$T30="PH"),AC28+1,0))</f>
        <v>0</v>
      </c>
      <c r="AE28" s="84">
        <f>IF($B28="",0,IF(OR(الحضور!$U30="W",الحضور!$U30="PH"),AD28+1,0))</f>
        <v>0</v>
      </c>
      <c r="AF28" s="84">
        <f>IF($B28="",0,IF(OR(الحضور!$V30="W",الحضور!$V30="PH"),AE28+1,0))</f>
        <v>0</v>
      </c>
      <c r="AG28" s="84">
        <f>IF($B28="",0,IF(OR(الحضور!$W30="W",الحضور!$W30="PH"),AF28+1,0))</f>
        <v>0</v>
      </c>
      <c r="AH28" s="84">
        <f>IF($B28="",0,IF(OR(الحضور!$X30="W",الحضور!$X30="PH"),AG28+1,0))</f>
        <v>0</v>
      </c>
      <c r="AI28" s="84">
        <f>IF($B28="",0,IF(OR(الحضور!$Y30="W",الحضور!$Y30="PH"),AH28+1,0))</f>
        <v>1</v>
      </c>
      <c r="AJ28" s="84">
        <f>IF($B28="",0,IF(OR(الحضور!$Z30="W",الحضور!$Z30="PH"),AI28+1,0))</f>
        <v>2</v>
      </c>
      <c r="AK28" s="84">
        <f>IF($B28="",0,IF(OR(الحضور!$AA30="W",الحضور!$AA30="PH"),AJ28+1,0))</f>
        <v>0</v>
      </c>
      <c r="AL28" s="84">
        <f>IF($B28="",0,IF(OR(الحضور!$AB30="W",الحضور!$AB30="PH"),AK28+1,0))</f>
        <v>0</v>
      </c>
      <c r="AM28" s="84">
        <f>IF($B28="",0,IF(OR(الحضور!$AC30="W",الحضور!$AC30="PH"),AL28+1,0))</f>
        <v>0</v>
      </c>
      <c r="AN28" s="84">
        <f>IF($B28="",0,IF(OR(الحضور!$AD30="W",الحضور!$AD30="PH"),AM28+1,0))</f>
        <v>0</v>
      </c>
      <c r="AO28" s="84">
        <f>IF($B28="",0,IF(OR(الحضور!$AE30="W",الحضور!$AE30="PH"),AN28+1,0))</f>
        <v>0</v>
      </c>
      <c r="AP28" s="84">
        <f>IF($B28="",0,IF(OR(الحضور!$AF30="W",الحضور!$AF30="PH"),AO28+1,0))</f>
        <v>1</v>
      </c>
      <c r="AQ28" s="84">
        <f>IF($B28="",0,IF(OR(الحضور!$AG30="W",الحضور!$AG30="PH"),AP28+1,0))</f>
        <v>2</v>
      </c>
      <c r="AR28" s="84">
        <f>IF($B28="",0,IF(OR(الحضور!$AH30="W",الحضور!$AH30="PH"),AQ28+1,0))</f>
        <v>0</v>
      </c>
      <c r="AS28" s="84">
        <f>IF($B28="",0,IF(OR(الحضور!$AI30="W",الحضور!$AI30="PH"),AR28+1,0))</f>
        <v>0</v>
      </c>
      <c r="AT28" s="84">
        <f>IF($B28="",0,IF(OR(الحضور!$AJ30="W",الحضور!$AJ30="PH"),AS28+1,0))</f>
        <v>0</v>
      </c>
      <c r="AU28" s="84">
        <f>IF($B28="",0,IF(OR(الحضور!$AK30="W",الحضور!$AK30="PH"),AT28+1,0))</f>
        <v>0</v>
      </c>
      <c r="AV28" s="84">
        <f>IF($B28="",0,IF(OR(الحضور!$AL30="W",الحضور!$AL30="PH"),AU28+1,0))</f>
        <v>0</v>
      </c>
      <c r="AW28" s="84">
        <f>IF($B28="",0,IF(OR(الحضور!$AM30="W",الحضور!$AM30="PH"),AV28+1,0))</f>
        <v>1</v>
      </c>
      <c r="AX28" s="84">
        <f>IF($B28="",0,IF(OR(الحضور!$AN30="W",الحضور!$AN30="PH"),AW28+1,0))</f>
        <v>2</v>
      </c>
      <c r="AY28" s="84">
        <f>IF($B28="",0,IF(OR(الحضور!$AO30="W",الحضور!$AO30="PH"),AX28+1,0))</f>
        <v>0</v>
      </c>
      <c r="AZ28" s="84">
        <f>IF($B28="",0,IF(OR(الحضور!$AP30="W",الحضور!$AP30="PH"),AY28+1,0))</f>
        <v>0</v>
      </c>
      <c r="BB28" s="84">
        <f>IF($B28="",0,IF(الحضور!$L30="A",0+0+1,IF(OR(الحضور!$L30="W",الحضور!$L30="PH"),0,0)))</f>
        <v>0</v>
      </c>
      <c r="BC28" s="84">
        <f>IF($B28="",0,IF(الحضور!$M30="A",BB28+V28+1,IF(OR(الحضور!$M30="W",الحضور!$M30="PH"),BB28,0)))</f>
        <v>0</v>
      </c>
      <c r="BD28" s="84">
        <f>IF($B28="",0,IF(الحضور!$N30="A",BC28+W28+1,IF(OR(الحضور!$N30="W",الحضور!$N30="PH"),BC28,0)))</f>
        <v>0</v>
      </c>
      <c r="BE28" s="84">
        <f>IF($B28="",0,IF(الحضور!$O30="A",BD28+X28+1,IF(OR(الحضور!$O30="W",الحضور!$O30="PH"),BD28,0)))</f>
        <v>0</v>
      </c>
      <c r="BF28" s="84">
        <f>IF($B28="",0,IF(الحضور!$P30="A",BE28+Y28+1,IF(OR(الحضور!$P30="W",الحضور!$P30="PH"),BE28,0)))</f>
        <v>0</v>
      </c>
      <c r="BG28" s="84">
        <f>IF($B28="",0,IF(الحضور!$Q30="A",BF28+Z28+1,IF(OR(الحضور!$Q30="W",الحضور!$Q30="PH"),BF28,0)))</f>
        <v>0</v>
      </c>
      <c r="BH28" s="84">
        <f>IF($B28="",0,IF(الحضور!$R30="A",BG28+AA28+1,IF(OR(الحضور!$R30="W",الحضور!$R30="PH"),BG28,0)))</f>
        <v>0</v>
      </c>
      <c r="BI28" s="84">
        <f>IF($B28="",0,IF(الحضور!$S30="A",BH28+AB28+1,IF(OR(الحضور!$S30="W",الحضور!$S30="PH"),BH28,0)))</f>
        <v>0</v>
      </c>
      <c r="BJ28" s="84">
        <f>IF($B28="",0,IF(الحضور!$T30="A",BI28+AC28+1,IF(OR(الحضور!$T30="W",الحضور!$T30="PH"),BI28,0)))</f>
        <v>0</v>
      </c>
      <c r="BK28" s="84">
        <f>IF($B28="",0,IF(الحضور!$U30="A",BJ28+AD28+1,IF(OR(الحضور!$U30="W",الحضور!$U30="PH"),BJ28,0)))</f>
        <v>0</v>
      </c>
      <c r="BL28" s="84">
        <f>IF($B28="",0,IF(الحضور!$V30="A",BK28+AE28+1,IF(OR(الحضور!$V30="W",الحضور!$V30="PH"),BK28,0)))</f>
        <v>0</v>
      </c>
      <c r="BM28" s="84">
        <f>IF($B28="",0,IF(الحضور!$W30="A",BL28+AF28+1,IF(OR(الحضور!$W30="W",الحضور!$W30="PH"),BL28,0)))</f>
        <v>0</v>
      </c>
      <c r="BN28" s="84">
        <f>IF($B28="",0,IF(الحضور!$X30="A",BM28+AG28+1,IF(OR(الحضور!$X30="W",الحضور!$X30="PH"),BM28,0)))</f>
        <v>0</v>
      </c>
      <c r="BO28" s="84">
        <f>IF($B28="",0,IF(الحضور!$Y30="A",BN28+AH28+1,IF(OR(الحضور!$Y30="W",الحضور!$Y30="PH"),BN28,0)))</f>
        <v>0</v>
      </c>
      <c r="BP28" s="84">
        <f>IF($B28="",0,IF(الحضور!$Z30="A",BO28+AI28+1,IF(OR(الحضور!$Z30="W",الحضور!$Z30="PH"),BO28,0)))</f>
        <v>0</v>
      </c>
      <c r="BQ28" s="84">
        <f>IF($B28="",0,IF(الحضور!$AA30="A",BP28+AJ28+1,IF(OR(الحضور!$AA30="W",الحضور!$AA30="PH"),BP28,0)))</f>
        <v>0</v>
      </c>
      <c r="BR28" s="84">
        <f>IF($B28="",0,IF(الحضور!$AB30="A",BQ28+AK28+1,IF(OR(الحضور!$AB30="W",الحضور!$AB30="PH"),BQ28,0)))</f>
        <v>0</v>
      </c>
      <c r="BS28" s="84">
        <f>IF($B28="",0,IF(الحضور!$AC30="A",BR28+AL28+1,IF(OR(الحضور!$AC30="W",الحضور!$AC30="PH"),BR28,0)))</f>
        <v>0</v>
      </c>
      <c r="BT28" s="84">
        <f>IF($B28="",0,IF(الحضور!$AD30="A",BS28+AM28+1,IF(OR(الحضور!$AD30="W",الحضور!$AD30="PH"),BS28,0)))</f>
        <v>0</v>
      </c>
      <c r="BU28" s="84">
        <f>IF($B28="",0,IF(الحضور!$AE30="A",BT28+AN28+1,IF(OR(الحضور!$AE30="W",الحضور!$AE30="PH"),BT28,0)))</f>
        <v>0</v>
      </c>
      <c r="BV28" s="84">
        <f>IF($B28="",0,IF(الحضور!$AF30="A",BU28+AO28+1,IF(OR(الحضور!$AF30="W",الحضور!$AF30="PH"),BU28,0)))</f>
        <v>0</v>
      </c>
      <c r="BW28" s="84">
        <f>IF($B28="",0,IF(الحضور!$AG30="A",BV28+AP28+1,IF(OR(الحضور!$AG30="W",الحضور!$AG30="PH"),BV28,0)))</f>
        <v>0</v>
      </c>
      <c r="BX28" s="84">
        <f>IF($B28="",0,IF(الحضور!$AH30="A",BW28+AQ28+1,IF(OR(الحضور!$AH30="W",الحضور!$AH30="PH"),BW28,0)))</f>
        <v>0</v>
      </c>
      <c r="BY28" s="84">
        <f>IF($B28="",0,IF(الحضور!$AI30="A",BX28+AR28+1,IF(OR(الحضور!$AI30="W",الحضور!$AI30="PH"),BX28,0)))</f>
        <v>0</v>
      </c>
      <c r="BZ28" s="84">
        <f>IF($B28="",0,IF(الحضور!$AJ30="A",BY28+AS28+1,IF(OR(الحضور!$AJ30="W",الحضور!$AJ30="PH"),BY28,0)))</f>
        <v>0</v>
      </c>
      <c r="CA28" s="84">
        <f>IF($B28="",0,IF(الحضور!$AK30="A",BZ28+AT28+1,IF(OR(الحضور!$AK30="W",الحضور!$AK30="PH"),BZ28,0)))</f>
        <v>0</v>
      </c>
      <c r="CB28" s="84">
        <f>IF($B28="",0,IF(الحضور!$AL30="A",CA28+AU28+1,IF(OR(الحضور!$AL30="W",الحضور!$AL30="PH"),CA28,0)))</f>
        <v>0</v>
      </c>
      <c r="CC28" s="84">
        <f>IF($B28="",0,IF(الحضور!$AM30="A",CB28+AV28+1,IF(OR(الحضور!$AM30="W",الحضور!$AM30="PH"),CB28,0)))</f>
        <v>0</v>
      </c>
      <c r="CD28" s="84">
        <f>IF($B28="",0,IF(الحضور!$AN30="A",CC28+AW28+1,IF(OR(الحضور!$AN30="W",الحضور!$AN30="PH"),CC28,0)))</f>
        <v>0</v>
      </c>
      <c r="CE28" s="84">
        <f>IF($B28="",0,IF(الحضور!$AO30="A",CD28+AX28+1,IF(OR(الحضور!$AO30="W",الحضور!$AO30="PH"),CD28,0)))</f>
        <v>0</v>
      </c>
      <c r="CF28" s="84">
        <f>IF($B28="",0,IF(الحضور!$AP30="A",CE28+AY28+1,IF(OR(الحضور!$AP30="W",الحضور!$AP30="PH"),CE28,0)))</f>
        <v>0</v>
      </c>
    </row>
    <row r="29" spans="1:84" ht="16.5" customHeight="1" x14ac:dyDescent="0.35">
      <c r="A29" s="18">
        <v>24</v>
      </c>
      <c r="B29" s="62" t="str">
        <f>IF(الموظفون!$B29="","",الموظفون!$B29)</f>
        <v>EMP-024</v>
      </c>
      <c r="C29" s="61" t="str">
        <f>IF($B29="","",الموظفون!$C29)</f>
        <v>نايف السبيعي</v>
      </c>
      <c r="D29" s="32"/>
      <c r="E29" s="32"/>
      <c r="F29" s="32"/>
      <c r="G29" s="32"/>
      <c r="H29" s="32"/>
      <c r="I29" s="32"/>
      <c r="J29" s="32"/>
      <c r="K29" s="32"/>
      <c r="L29" s="32"/>
      <c r="M29" s="32"/>
      <c r="N29" s="32"/>
      <c r="O29" s="32"/>
      <c r="P29" s="34">
        <f>IF($B29="","",SUM($D29:$O29)+IF(INDEX($D29:$O29,1,الإعدادات!$C$13)="",$Q29,0))</f>
        <v>0</v>
      </c>
      <c r="Q29" s="51">
        <f>IF($B29="","",الحضور!$G31)</f>
        <v>0</v>
      </c>
      <c r="R29" s="34">
        <f t="shared" si="0"/>
        <v>0</v>
      </c>
      <c r="S29" s="32"/>
      <c r="T29" s="61" t="str">
        <f>IF($B29="","",IF(OR($R29&gt;الإعدادات!$C$36,$S29&gt;الإعدادات!$C$36),"تجاوز حد الإنهاء — غياب متصل",IF($P29&gt;الإعدادات!$C$37,"تجاوز حد الإنهاء — غياب متقطع",IF(OR($R29&gt;=الإعدادات!$C$34,$S29&gt;=الإعدادات!$C$34),"إنذار كتابي واجب — غياب متصل",IF($P29&gt;=الإعدادات!$C$35,"إنذار كتابي واجب — غياب متقطع","سليم")))))</f>
        <v>سليم</v>
      </c>
      <c r="V29" s="84">
        <f>IF($B29="",0,IF(OR(الحضور!$L31="W",الحضور!$L31="PH"),0+1,0))</f>
        <v>1</v>
      </c>
      <c r="W29" s="84">
        <f>IF($B29="",0,IF(OR(الحضور!$M31="W",الحضور!$M31="PH"),V29+1,0))</f>
        <v>0</v>
      </c>
      <c r="X29" s="84">
        <f>IF($B29="",0,IF(OR(الحضور!$N31="W",الحضور!$N31="PH"),W29+1,0))</f>
        <v>0</v>
      </c>
      <c r="Y29" s="84">
        <f>IF($B29="",0,IF(OR(الحضور!$O31="W",الحضور!$O31="PH"),X29+1,0))</f>
        <v>0</v>
      </c>
      <c r="Z29" s="84">
        <f>IF($B29="",0,IF(OR(الحضور!$P31="W",الحضور!$P31="PH"),Y29+1,0))</f>
        <v>0</v>
      </c>
      <c r="AA29" s="84">
        <f>IF($B29="",0,IF(OR(الحضور!$Q31="W",الحضور!$Q31="PH"),Z29+1,0))</f>
        <v>0</v>
      </c>
      <c r="AB29" s="84">
        <f>IF($B29="",0,IF(OR(الحضور!$R31="W",الحضور!$R31="PH"),AA29+1,0))</f>
        <v>1</v>
      </c>
      <c r="AC29" s="84">
        <f>IF($B29="",0,IF(OR(الحضور!$S31="W",الحضور!$S31="PH"),AB29+1,0))</f>
        <v>2</v>
      </c>
      <c r="AD29" s="84">
        <f>IF($B29="",0,IF(OR(الحضور!$T31="W",الحضور!$T31="PH"),AC29+1,0))</f>
        <v>0</v>
      </c>
      <c r="AE29" s="84">
        <f>IF($B29="",0,IF(OR(الحضور!$U31="W",الحضور!$U31="PH"),AD29+1,0))</f>
        <v>0</v>
      </c>
      <c r="AF29" s="84">
        <f>IF($B29="",0,IF(OR(الحضور!$V31="W",الحضور!$V31="PH"),AE29+1,0))</f>
        <v>0</v>
      </c>
      <c r="AG29" s="84">
        <f>IF($B29="",0,IF(OR(الحضور!$W31="W",الحضور!$W31="PH"),AF29+1,0))</f>
        <v>0</v>
      </c>
      <c r="AH29" s="84">
        <f>IF($B29="",0,IF(OR(الحضور!$X31="W",الحضور!$X31="PH"),AG29+1,0))</f>
        <v>0</v>
      </c>
      <c r="AI29" s="84">
        <f>IF($B29="",0,IF(OR(الحضور!$Y31="W",الحضور!$Y31="PH"),AH29+1,0))</f>
        <v>1</v>
      </c>
      <c r="AJ29" s="84">
        <f>IF($B29="",0,IF(OR(الحضور!$Z31="W",الحضور!$Z31="PH"),AI29+1,0))</f>
        <v>2</v>
      </c>
      <c r="AK29" s="84">
        <f>IF($B29="",0,IF(OR(الحضور!$AA31="W",الحضور!$AA31="PH"),AJ29+1,0))</f>
        <v>0</v>
      </c>
      <c r="AL29" s="84">
        <f>IF($B29="",0,IF(OR(الحضور!$AB31="W",الحضور!$AB31="PH"),AK29+1,0))</f>
        <v>0</v>
      </c>
      <c r="AM29" s="84">
        <f>IF($B29="",0,IF(OR(الحضور!$AC31="W",الحضور!$AC31="PH"),AL29+1,0))</f>
        <v>0</v>
      </c>
      <c r="AN29" s="84">
        <f>IF($B29="",0,IF(OR(الحضور!$AD31="W",الحضور!$AD31="PH"),AM29+1,0))</f>
        <v>0</v>
      </c>
      <c r="AO29" s="84">
        <f>IF($B29="",0,IF(OR(الحضور!$AE31="W",الحضور!$AE31="PH"),AN29+1,0))</f>
        <v>0</v>
      </c>
      <c r="AP29" s="84">
        <f>IF($B29="",0,IF(OR(الحضور!$AF31="W",الحضور!$AF31="PH"),AO29+1,0))</f>
        <v>1</v>
      </c>
      <c r="AQ29" s="84">
        <f>IF($B29="",0,IF(OR(الحضور!$AG31="W",الحضور!$AG31="PH"),AP29+1,0))</f>
        <v>2</v>
      </c>
      <c r="AR29" s="84">
        <f>IF($B29="",0,IF(OR(الحضور!$AH31="W",الحضور!$AH31="PH"),AQ29+1,0))</f>
        <v>0</v>
      </c>
      <c r="AS29" s="84">
        <f>IF($B29="",0,IF(OR(الحضور!$AI31="W",الحضور!$AI31="PH"),AR29+1,0))</f>
        <v>0</v>
      </c>
      <c r="AT29" s="84">
        <f>IF($B29="",0,IF(OR(الحضور!$AJ31="W",الحضور!$AJ31="PH"),AS29+1,0))</f>
        <v>0</v>
      </c>
      <c r="AU29" s="84">
        <f>IF($B29="",0,IF(OR(الحضور!$AK31="W",الحضور!$AK31="PH"),AT29+1,0))</f>
        <v>0</v>
      </c>
      <c r="AV29" s="84">
        <f>IF($B29="",0,IF(OR(الحضور!$AL31="W",الحضور!$AL31="PH"),AU29+1,0))</f>
        <v>0</v>
      </c>
      <c r="AW29" s="84">
        <f>IF($B29="",0,IF(OR(الحضور!$AM31="W",الحضور!$AM31="PH"),AV29+1,0))</f>
        <v>1</v>
      </c>
      <c r="AX29" s="84">
        <f>IF($B29="",0,IF(OR(الحضور!$AN31="W",الحضور!$AN31="PH"),AW29+1,0))</f>
        <v>2</v>
      </c>
      <c r="AY29" s="84">
        <f>IF($B29="",0,IF(OR(الحضور!$AO31="W",الحضور!$AO31="PH"),AX29+1,0))</f>
        <v>0</v>
      </c>
      <c r="AZ29" s="84">
        <f>IF($B29="",0,IF(OR(الحضور!$AP31="W",الحضور!$AP31="PH"),AY29+1,0))</f>
        <v>0</v>
      </c>
      <c r="BB29" s="84">
        <f>IF($B29="",0,IF(الحضور!$L31="A",0+0+1,IF(OR(الحضور!$L31="W",الحضور!$L31="PH"),0,0)))</f>
        <v>0</v>
      </c>
      <c r="BC29" s="84">
        <f>IF($B29="",0,IF(الحضور!$M31="A",BB29+V29+1,IF(OR(الحضور!$M31="W",الحضور!$M31="PH"),BB29,0)))</f>
        <v>0</v>
      </c>
      <c r="BD29" s="84">
        <f>IF($B29="",0,IF(الحضور!$N31="A",BC29+W29+1,IF(OR(الحضور!$N31="W",الحضور!$N31="PH"),BC29,0)))</f>
        <v>0</v>
      </c>
      <c r="BE29" s="84">
        <f>IF($B29="",0,IF(الحضور!$O31="A",BD29+X29+1,IF(OR(الحضور!$O31="W",الحضور!$O31="PH"),BD29,0)))</f>
        <v>0</v>
      </c>
      <c r="BF29" s="84">
        <f>IF($B29="",0,IF(الحضور!$P31="A",BE29+Y29+1,IF(OR(الحضور!$P31="W",الحضور!$P31="PH"),BE29,0)))</f>
        <v>0</v>
      </c>
      <c r="BG29" s="84">
        <f>IF($B29="",0,IF(الحضور!$Q31="A",BF29+Z29+1,IF(OR(الحضور!$Q31="W",الحضور!$Q31="PH"),BF29,0)))</f>
        <v>0</v>
      </c>
      <c r="BH29" s="84">
        <f>IF($B29="",0,IF(الحضور!$R31="A",BG29+AA29+1,IF(OR(الحضور!$R31="W",الحضور!$R31="PH"),BG29,0)))</f>
        <v>0</v>
      </c>
      <c r="BI29" s="84">
        <f>IF($B29="",0,IF(الحضور!$S31="A",BH29+AB29+1,IF(OR(الحضور!$S31="W",الحضور!$S31="PH"),BH29,0)))</f>
        <v>0</v>
      </c>
      <c r="BJ29" s="84">
        <f>IF($B29="",0,IF(الحضور!$T31="A",BI29+AC29+1,IF(OR(الحضور!$T31="W",الحضور!$T31="PH"),BI29,0)))</f>
        <v>0</v>
      </c>
      <c r="BK29" s="84">
        <f>IF($B29="",0,IF(الحضور!$U31="A",BJ29+AD29+1,IF(OR(الحضور!$U31="W",الحضور!$U31="PH"),BJ29,0)))</f>
        <v>0</v>
      </c>
      <c r="BL29" s="84">
        <f>IF($B29="",0,IF(الحضور!$V31="A",BK29+AE29+1,IF(OR(الحضور!$V31="W",الحضور!$V31="PH"),BK29,0)))</f>
        <v>0</v>
      </c>
      <c r="BM29" s="84">
        <f>IF($B29="",0,IF(الحضور!$W31="A",BL29+AF29+1,IF(OR(الحضور!$W31="W",الحضور!$W31="PH"),BL29,0)))</f>
        <v>0</v>
      </c>
      <c r="BN29" s="84">
        <f>IF($B29="",0,IF(الحضور!$X31="A",BM29+AG29+1,IF(OR(الحضور!$X31="W",الحضور!$X31="PH"),BM29,0)))</f>
        <v>0</v>
      </c>
      <c r="BO29" s="84">
        <f>IF($B29="",0,IF(الحضور!$Y31="A",BN29+AH29+1,IF(OR(الحضور!$Y31="W",الحضور!$Y31="PH"),BN29,0)))</f>
        <v>0</v>
      </c>
      <c r="BP29" s="84">
        <f>IF($B29="",0,IF(الحضور!$Z31="A",BO29+AI29+1,IF(OR(الحضور!$Z31="W",الحضور!$Z31="PH"),BO29,0)))</f>
        <v>0</v>
      </c>
      <c r="BQ29" s="84">
        <f>IF($B29="",0,IF(الحضور!$AA31="A",BP29+AJ29+1,IF(OR(الحضور!$AA31="W",الحضور!$AA31="PH"),BP29,0)))</f>
        <v>0</v>
      </c>
      <c r="BR29" s="84">
        <f>IF($B29="",0,IF(الحضور!$AB31="A",BQ29+AK29+1,IF(OR(الحضور!$AB31="W",الحضور!$AB31="PH"),BQ29,0)))</f>
        <v>0</v>
      </c>
      <c r="BS29" s="84">
        <f>IF($B29="",0,IF(الحضور!$AC31="A",BR29+AL29+1,IF(OR(الحضور!$AC31="W",الحضور!$AC31="PH"),BR29,0)))</f>
        <v>0</v>
      </c>
      <c r="BT29" s="84">
        <f>IF($B29="",0,IF(الحضور!$AD31="A",BS29+AM29+1,IF(OR(الحضور!$AD31="W",الحضور!$AD31="PH"),BS29,0)))</f>
        <v>0</v>
      </c>
      <c r="BU29" s="84">
        <f>IF($B29="",0,IF(الحضور!$AE31="A",BT29+AN29+1,IF(OR(الحضور!$AE31="W",الحضور!$AE31="PH"),BT29,0)))</f>
        <v>0</v>
      </c>
      <c r="BV29" s="84">
        <f>IF($B29="",0,IF(الحضور!$AF31="A",BU29+AO29+1,IF(OR(الحضور!$AF31="W",الحضور!$AF31="PH"),BU29,0)))</f>
        <v>0</v>
      </c>
      <c r="BW29" s="84">
        <f>IF($B29="",0,IF(الحضور!$AG31="A",BV29+AP29+1,IF(OR(الحضور!$AG31="W",الحضور!$AG31="PH"),BV29,0)))</f>
        <v>0</v>
      </c>
      <c r="BX29" s="84">
        <f>IF($B29="",0,IF(الحضور!$AH31="A",BW29+AQ29+1,IF(OR(الحضور!$AH31="W",الحضور!$AH31="PH"),BW29,0)))</f>
        <v>0</v>
      </c>
      <c r="BY29" s="84">
        <f>IF($B29="",0,IF(الحضور!$AI31="A",BX29+AR29+1,IF(OR(الحضور!$AI31="W",الحضور!$AI31="PH"),BX29,0)))</f>
        <v>0</v>
      </c>
      <c r="BZ29" s="84">
        <f>IF($B29="",0,IF(الحضور!$AJ31="A",BY29+AS29+1,IF(OR(الحضور!$AJ31="W",الحضور!$AJ31="PH"),BY29,0)))</f>
        <v>0</v>
      </c>
      <c r="CA29" s="84">
        <f>IF($B29="",0,IF(الحضور!$AK31="A",BZ29+AT29+1,IF(OR(الحضور!$AK31="W",الحضور!$AK31="PH"),BZ29,0)))</f>
        <v>0</v>
      </c>
      <c r="CB29" s="84">
        <f>IF($B29="",0,IF(الحضور!$AL31="A",CA29+AU29+1,IF(OR(الحضور!$AL31="W",الحضور!$AL31="PH"),CA29,0)))</f>
        <v>0</v>
      </c>
      <c r="CC29" s="84">
        <f>IF($B29="",0,IF(الحضور!$AM31="A",CB29+AV29+1,IF(OR(الحضور!$AM31="W",الحضور!$AM31="PH"),CB29,0)))</f>
        <v>0</v>
      </c>
      <c r="CD29" s="84">
        <f>IF($B29="",0,IF(الحضور!$AN31="A",CC29+AW29+1,IF(OR(الحضور!$AN31="W",الحضور!$AN31="PH"),CC29,0)))</f>
        <v>0</v>
      </c>
      <c r="CE29" s="84">
        <f>IF($B29="",0,IF(الحضور!$AO31="A",CD29+AX29+1,IF(OR(الحضور!$AO31="W",الحضور!$AO31="PH"),CD29,0)))</f>
        <v>0</v>
      </c>
      <c r="CF29" s="84">
        <f>IF($B29="",0,IF(الحضور!$AP31="A",CE29+AY29+1,IF(OR(الحضور!$AP31="W",الحضور!$AP31="PH"),CE29,0)))</f>
        <v>0</v>
      </c>
    </row>
    <row r="30" spans="1:84" ht="16.5" customHeight="1" x14ac:dyDescent="0.35">
      <c r="A30" s="18">
        <v>25</v>
      </c>
      <c r="B30" s="62" t="str">
        <f>IF(الموظفون!$B30="","",الموظفون!$B30)</f>
        <v>EMP-025</v>
      </c>
      <c r="C30" s="61" t="str">
        <f>IF($B30="","",الموظفون!$C30)</f>
        <v>إيمان صابر رفعت</v>
      </c>
      <c r="D30" s="32"/>
      <c r="E30" s="32"/>
      <c r="F30" s="32"/>
      <c r="G30" s="32"/>
      <c r="H30" s="32"/>
      <c r="I30" s="32"/>
      <c r="J30" s="32"/>
      <c r="K30" s="32"/>
      <c r="L30" s="32"/>
      <c r="M30" s="32"/>
      <c r="N30" s="32"/>
      <c r="O30" s="32"/>
      <c r="P30" s="34">
        <f>IF($B30="","",SUM($D30:$O30)+IF(INDEX($D30:$O30,1,الإعدادات!$C$13)="",$Q30,0))</f>
        <v>0</v>
      </c>
      <c r="Q30" s="51">
        <f>IF($B30="","",الحضور!$G32)</f>
        <v>0</v>
      </c>
      <c r="R30" s="34">
        <f t="shared" si="0"/>
        <v>0</v>
      </c>
      <c r="S30" s="32"/>
      <c r="T30" s="61" t="str">
        <f>IF($B30="","",IF(OR($R30&gt;الإعدادات!$C$36,$S30&gt;الإعدادات!$C$36),"تجاوز حد الإنهاء — غياب متصل",IF($P30&gt;الإعدادات!$C$37,"تجاوز حد الإنهاء — غياب متقطع",IF(OR($R30&gt;=الإعدادات!$C$34,$S30&gt;=الإعدادات!$C$34),"إنذار كتابي واجب — غياب متصل",IF($P30&gt;=الإعدادات!$C$35,"إنذار كتابي واجب — غياب متقطع","سليم")))))</f>
        <v>سليم</v>
      </c>
      <c r="V30" s="84">
        <f>IF($B30="",0,IF(OR(الحضور!$L32="W",الحضور!$L32="PH"),0+1,0))</f>
        <v>1</v>
      </c>
      <c r="W30" s="84">
        <f>IF($B30="",0,IF(OR(الحضور!$M32="W",الحضور!$M32="PH"),V30+1,0))</f>
        <v>0</v>
      </c>
      <c r="X30" s="84">
        <f>IF($B30="",0,IF(OR(الحضور!$N32="W",الحضور!$N32="PH"),W30+1,0))</f>
        <v>0</v>
      </c>
      <c r="Y30" s="84">
        <f>IF($B30="",0,IF(OR(الحضور!$O32="W",الحضور!$O32="PH"),X30+1,0))</f>
        <v>0</v>
      </c>
      <c r="Z30" s="84">
        <f>IF($B30="",0,IF(OR(الحضور!$P32="W",الحضور!$P32="PH"),Y30+1,0))</f>
        <v>0</v>
      </c>
      <c r="AA30" s="84">
        <f>IF($B30="",0,IF(OR(الحضور!$Q32="W",الحضور!$Q32="PH"),Z30+1,0))</f>
        <v>0</v>
      </c>
      <c r="AB30" s="84">
        <f>IF($B30="",0,IF(OR(الحضور!$R32="W",الحضور!$R32="PH"),AA30+1,0))</f>
        <v>1</v>
      </c>
      <c r="AC30" s="84">
        <f>IF($B30="",0,IF(OR(الحضور!$S32="W",الحضور!$S32="PH"),AB30+1,0))</f>
        <v>2</v>
      </c>
      <c r="AD30" s="84">
        <f>IF($B30="",0,IF(OR(الحضور!$T32="W",الحضور!$T32="PH"),AC30+1,0))</f>
        <v>0</v>
      </c>
      <c r="AE30" s="84">
        <f>IF($B30="",0,IF(OR(الحضور!$U32="W",الحضور!$U32="PH"),AD30+1,0))</f>
        <v>0</v>
      </c>
      <c r="AF30" s="84">
        <f>IF($B30="",0,IF(OR(الحضور!$V32="W",الحضور!$V32="PH"),AE30+1,0))</f>
        <v>0</v>
      </c>
      <c r="AG30" s="84">
        <f>IF($B30="",0,IF(OR(الحضور!$W32="W",الحضور!$W32="PH"),AF30+1,0))</f>
        <v>0</v>
      </c>
      <c r="AH30" s="84">
        <f>IF($B30="",0,IF(OR(الحضور!$X32="W",الحضور!$X32="PH"),AG30+1,0))</f>
        <v>0</v>
      </c>
      <c r="AI30" s="84">
        <f>IF($B30="",0,IF(OR(الحضور!$Y32="W",الحضور!$Y32="PH"),AH30+1,0))</f>
        <v>1</v>
      </c>
      <c r="AJ30" s="84">
        <f>IF($B30="",0,IF(OR(الحضور!$Z32="W",الحضور!$Z32="PH"),AI30+1,0))</f>
        <v>2</v>
      </c>
      <c r="AK30" s="84">
        <f>IF($B30="",0,IF(OR(الحضور!$AA32="W",الحضور!$AA32="PH"),AJ30+1,0))</f>
        <v>0</v>
      </c>
      <c r="AL30" s="84">
        <f>IF($B30="",0,IF(OR(الحضور!$AB32="W",الحضور!$AB32="PH"),AK30+1,0))</f>
        <v>0</v>
      </c>
      <c r="AM30" s="84">
        <f>IF($B30="",0,IF(OR(الحضور!$AC32="W",الحضور!$AC32="PH"),AL30+1,0))</f>
        <v>0</v>
      </c>
      <c r="AN30" s="84">
        <f>IF($B30="",0,IF(OR(الحضور!$AD32="W",الحضور!$AD32="PH"),AM30+1,0))</f>
        <v>0</v>
      </c>
      <c r="AO30" s="84">
        <f>IF($B30="",0,IF(OR(الحضور!$AE32="W",الحضور!$AE32="PH"),AN30+1,0))</f>
        <v>0</v>
      </c>
      <c r="AP30" s="84">
        <f>IF($B30="",0,IF(OR(الحضور!$AF32="W",الحضور!$AF32="PH"),AO30+1,0))</f>
        <v>1</v>
      </c>
      <c r="AQ30" s="84">
        <f>IF($B30="",0,IF(OR(الحضور!$AG32="W",الحضور!$AG32="PH"),AP30+1,0))</f>
        <v>2</v>
      </c>
      <c r="AR30" s="84">
        <f>IF($B30="",0,IF(OR(الحضور!$AH32="W",الحضور!$AH32="PH"),AQ30+1,0))</f>
        <v>0</v>
      </c>
      <c r="AS30" s="84">
        <f>IF($B30="",0,IF(OR(الحضور!$AI32="W",الحضور!$AI32="PH"),AR30+1,0))</f>
        <v>0</v>
      </c>
      <c r="AT30" s="84">
        <f>IF($B30="",0,IF(OR(الحضور!$AJ32="W",الحضور!$AJ32="PH"),AS30+1,0))</f>
        <v>0</v>
      </c>
      <c r="AU30" s="84">
        <f>IF($B30="",0,IF(OR(الحضور!$AK32="W",الحضور!$AK32="PH"),AT30+1,0))</f>
        <v>0</v>
      </c>
      <c r="AV30" s="84">
        <f>IF($B30="",0,IF(OR(الحضور!$AL32="W",الحضور!$AL32="PH"),AU30+1,0))</f>
        <v>0</v>
      </c>
      <c r="AW30" s="84">
        <f>IF($B30="",0,IF(OR(الحضور!$AM32="W",الحضور!$AM32="PH"),AV30+1,0))</f>
        <v>1</v>
      </c>
      <c r="AX30" s="84">
        <f>IF($B30="",0,IF(OR(الحضور!$AN32="W",الحضور!$AN32="PH"),AW30+1,0))</f>
        <v>2</v>
      </c>
      <c r="AY30" s="84">
        <f>IF($B30="",0,IF(OR(الحضور!$AO32="W",الحضور!$AO32="PH"),AX30+1,0))</f>
        <v>0</v>
      </c>
      <c r="AZ30" s="84">
        <f>IF($B30="",0,IF(OR(الحضور!$AP32="W",الحضور!$AP32="PH"),AY30+1,0))</f>
        <v>0</v>
      </c>
      <c r="BB30" s="84">
        <f>IF($B30="",0,IF(الحضور!$L32="A",0+0+1,IF(OR(الحضور!$L32="W",الحضور!$L32="PH"),0,0)))</f>
        <v>0</v>
      </c>
      <c r="BC30" s="84">
        <f>IF($B30="",0,IF(الحضور!$M32="A",BB30+V30+1,IF(OR(الحضور!$M32="W",الحضور!$M32="PH"),BB30,0)))</f>
        <v>0</v>
      </c>
      <c r="BD30" s="84">
        <f>IF($B30="",0,IF(الحضور!$N32="A",BC30+W30+1,IF(OR(الحضور!$N32="W",الحضور!$N32="PH"),BC30,0)))</f>
        <v>0</v>
      </c>
      <c r="BE30" s="84">
        <f>IF($B30="",0,IF(الحضور!$O32="A",BD30+X30+1,IF(OR(الحضور!$O32="W",الحضور!$O32="PH"),BD30,0)))</f>
        <v>0</v>
      </c>
      <c r="BF30" s="84">
        <f>IF($B30="",0,IF(الحضور!$P32="A",BE30+Y30+1,IF(OR(الحضور!$P32="W",الحضور!$P32="PH"),BE30,0)))</f>
        <v>0</v>
      </c>
      <c r="BG30" s="84">
        <f>IF($B30="",0,IF(الحضور!$Q32="A",BF30+Z30+1,IF(OR(الحضور!$Q32="W",الحضور!$Q32="PH"),BF30,0)))</f>
        <v>0</v>
      </c>
      <c r="BH30" s="84">
        <f>IF($B30="",0,IF(الحضور!$R32="A",BG30+AA30+1,IF(OR(الحضور!$R32="W",الحضور!$R32="PH"),BG30,0)))</f>
        <v>0</v>
      </c>
      <c r="BI30" s="84">
        <f>IF($B30="",0,IF(الحضور!$S32="A",BH30+AB30+1,IF(OR(الحضور!$S32="W",الحضور!$S32="PH"),BH30,0)))</f>
        <v>0</v>
      </c>
      <c r="BJ30" s="84">
        <f>IF($B30="",0,IF(الحضور!$T32="A",BI30+AC30+1,IF(OR(الحضور!$T32="W",الحضور!$T32="PH"),BI30,0)))</f>
        <v>0</v>
      </c>
      <c r="BK30" s="84">
        <f>IF($B30="",0,IF(الحضور!$U32="A",BJ30+AD30+1,IF(OR(الحضور!$U32="W",الحضور!$U32="PH"),BJ30,0)))</f>
        <v>0</v>
      </c>
      <c r="BL30" s="84">
        <f>IF($B30="",0,IF(الحضور!$V32="A",BK30+AE30+1,IF(OR(الحضور!$V32="W",الحضور!$V32="PH"),BK30,0)))</f>
        <v>0</v>
      </c>
      <c r="BM30" s="84">
        <f>IF($B30="",0,IF(الحضور!$W32="A",BL30+AF30+1,IF(OR(الحضور!$W32="W",الحضور!$W32="PH"),BL30,0)))</f>
        <v>0</v>
      </c>
      <c r="BN30" s="84">
        <f>IF($B30="",0,IF(الحضور!$X32="A",BM30+AG30+1,IF(OR(الحضور!$X32="W",الحضور!$X32="PH"),BM30,0)))</f>
        <v>0</v>
      </c>
      <c r="BO30" s="84">
        <f>IF($B30="",0,IF(الحضور!$Y32="A",BN30+AH30+1,IF(OR(الحضور!$Y32="W",الحضور!$Y32="PH"),BN30,0)))</f>
        <v>0</v>
      </c>
      <c r="BP30" s="84">
        <f>IF($B30="",0,IF(الحضور!$Z32="A",BO30+AI30+1,IF(OR(الحضور!$Z32="W",الحضور!$Z32="PH"),BO30,0)))</f>
        <v>0</v>
      </c>
      <c r="BQ30" s="84">
        <f>IF($B30="",0,IF(الحضور!$AA32="A",BP30+AJ30+1,IF(OR(الحضور!$AA32="W",الحضور!$AA32="PH"),BP30,0)))</f>
        <v>0</v>
      </c>
      <c r="BR30" s="84">
        <f>IF($B30="",0,IF(الحضور!$AB32="A",BQ30+AK30+1,IF(OR(الحضور!$AB32="W",الحضور!$AB32="PH"),BQ30,0)))</f>
        <v>0</v>
      </c>
      <c r="BS30" s="84">
        <f>IF($B30="",0,IF(الحضور!$AC32="A",BR30+AL30+1,IF(OR(الحضور!$AC32="W",الحضور!$AC32="PH"),BR30,0)))</f>
        <v>0</v>
      </c>
      <c r="BT30" s="84">
        <f>IF($B30="",0,IF(الحضور!$AD32="A",BS30+AM30+1,IF(OR(الحضور!$AD32="W",الحضور!$AD32="PH"),BS30,0)))</f>
        <v>0</v>
      </c>
      <c r="BU30" s="84">
        <f>IF($B30="",0,IF(الحضور!$AE32="A",BT30+AN30+1,IF(OR(الحضور!$AE32="W",الحضور!$AE32="PH"),BT30,0)))</f>
        <v>0</v>
      </c>
      <c r="BV30" s="84">
        <f>IF($B30="",0,IF(الحضور!$AF32="A",BU30+AO30+1,IF(OR(الحضور!$AF32="W",الحضور!$AF32="PH"),BU30,0)))</f>
        <v>0</v>
      </c>
      <c r="BW30" s="84">
        <f>IF($B30="",0,IF(الحضور!$AG32="A",BV30+AP30+1,IF(OR(الحضور!$AG32="W",الحضور!$AG32="PH"),BV30,0)))</f>
        <v>0</v>
      </c>
      <c r="BX30" s="84">
        <f>IF($B30="",0,IF(الحضور!$AH32="A",BW30+AQ30+1,IF(OR(الحضور!$AH32="W",الحضور!$AH32="PH"),BW30,0)))</f>
        <v>0</v>
      </c>
      <c r="BY30" s="84">
        <f>IF($B30="",0,IF(الحضور!$AI32="A",BX30+AR30+1,IF(OR(الحضور!$AI32="W",الحضور!$AI32="PH"),BX30,0)))</f>
        <v>0</v>
      </c>
      <c r="BZ30" s="84">
        <f>IF($B30="",0,IF(الحضور!$AJ32="A",BY30+AS30+1,IF(OR(الحضور!$AJ32="W",الحضور!$AJ32="PH"),BY30,0)))</f>
        <v>0</v>
      </c>
      <c r="CA30" s="84">
        <f>IF($B30="",0,IF(الحضور!$AK32="A",BZ30+AT30+1,IF(OR(الحضور!$AK32="W",الحضور!$AK32="PH"),BZ30,0)))</f>
        <v>0</v>
      </c>
      <c r="CB30" s="84">
        <f>IF($B30="",0,IF(الحضور!$AL32="A",CA30+AU30+1,IF(OR(الحضور!$AL32="W",الحضور!$AL32="PH"),CA30,0)))</f>
        <v>0</v>
      </c>
      <c r="CC30" s="84">
        <f>IF($B30="",0,IF(الحضور!$AM32="A",CB30+AV30+1,IF(OR(الحضور!$AM32="W",الحضور!$AM32="PH"),CB30,0)))</f>
        <v>0</v>
      </c>
      <c r="CD30" s="84">
        <f>IF($B30="",0,IF(الحضور!$AN32="A",CC30+AW30+1,IF(OR(الحضور!$AN32="W",الحضور!$AN32="PH"),CC30,0)))</f>
        <v>0</v>
      </c>
      <c r="CE30" s="84">
        <f>IF($B30="",0,IF(الحضور!$AO32="A",CD30+AX30+1,IF(OR(الحضور!$AO32="W",الحضور!$AO32="PH"),CD30,0)))</f>
        <v>0</v>
      </c>
      <c r="CF30" s="84">
        <f>IF($B30="",0,IF(الحضور!$AP32="A",CE30+AY30+1,IF(OR(الحضور!$AP32="W",الحضور!$AP32="PH"),CE30,0)))</f>
        <v>0</v>
      </c>
    </row>
    <row r="31" spans="1:84" ht="16.5" customHeight="1" x14ac:dyDescent="0.35">
      <c r="A31" s="18">
        <v>26</v>
      </c>
      <c r="B31" s="62" t="str">
        <f>IF(الموظفون!$B31="","",الموظفون!$B31)</f>
        <v>EMP-026</v>
      </c>
      <c r="C31" s="61" t="str">
        <f>IF($B31="","",الموظفون!$C31)</f>
        <v>منال المطيري</v>
      </c>
      <c r="D31" s="32"/>
      <c r="E31" s="32"/>
      <c r="F31" s="32"/>
      <c r="G31" s="32"/>
      <c r="H31" s="32"/>
      <c r="I31" s="32"/>
      <c r="J31" s="32"/>
      <c r="K31" s="32"/>
      <c r="L31" s="32"/>
      <c r="M31" s="32"/>
      <c r="N31" s="32"/>
      <c r="O31" s="32"/>
      <c r="P31" s="34">
        <f>IF($B31="","",SUM($D31:$O31)+IF(INDEX($D31:$O31,1,الإعدادات!$C$13)="",$Q31,0))</f>
        <v>4</v>
      </c>
      <c r="Q31" s="51">
        <f>IF($B31="","",الحضور!$G33)</f>
        <v>4</v>
      </c>
      <c r="R31" s="34">
        <f t="shared" si="0"/>
        <v>4</v>
      </c>
      <c r="S31" s="32"/>
      <c r="T31" s="61" t="str">
        <f>IF($B31="","",IF(OR($R31&gt;الإعدادات!$C$36,$S31&gt;الإعدادات!$C$36),"تجاوز حد الإنهاء — غياب متصل",IF($P31&gt;الإعدادات!$C$37,"تجاوز حد الإنهاء — غياب متقطع",IF(OR($R31&gt;=الإعدادات!$C$34,$S31&gt;=الإعدادات!$C$34),"إنذار كتابي واجب — غياب متصل",IF($P31&gt;=الإعدادات!$C$35,"إنذار كتابي واجب — غياب متقطع","سليم")))))</f>
        <v>سليم</v>
      </c>
      <c r="V31" s="84">
        <f>IF($B31="",0,IF(OR(الحضور!$L33="W",الحضور!$L33="PH"),0+1,0))</f>
        <v>1</v>
      </c>
      <c r="W31" s="84">
        <f>IF($B31="",0,IF(OR(الحضور!$M33="W",الحضور!$M33="PH"),V31+1,0))</f>
        <v>0</v>
      </c>
      <c r="X31" s="84">
        <f>IF($B31="",0,IF(OR(الحضور!$N33="W",الحضور!$N33="PH"),W31+1,0))</f>
        <v>0</v>
      </c>
      <c r="Y31" s="84">
        <f>IF($B31="",0,IF(OR(الحضور!$O33="W",الحضور!$O33="PH"),X31+1,0))</f>
        <v>0</v>
      </c>
      <c r="Z31" s="84">
        <f>IF($B31="",0,IF(OR(الحضور!$P33="W",الحضور!$P33="PH"),Y31+1,0))</f>
        <v>0</v>
      </c>
      <c r="AA31" s="84">
        <f>IF($B31="",0,IF(OR(الحضور!$Q33="W",الحضور!$Q33="PH"),Z31+1,0))</f>
        <v>0</v>
      </c>
      <c r="AB31" s="84">
        <f>IF($B31="",0,IF(OR(الحضور!$R33="W",الحضور!$R33="PH"),AA31+1,0))</f>
        <v>1</v>
      </c>
      <c r="AC31" s="84">
        <f>IF($B31="",0,IF(OR(الحضور!$S33="W",الحضور!$S33="PH"),AB31+1,0))</f>
        <v>2</v>
      </c>
      <c r="AD31" s="84">
        <f>IF($B31="",0,IF(OR(الحضور!$T33="W",الحضور!$T33="PH"),AC31+1,0))</f>
        <v>0</v>
      </c>
      <c r="AE31" s="84">
        <f>IF($B31="",0,IF(OR(الحضور!$U33="W",الحضور!$U33="PH"),AD31+1,0))</f>
        <v>0</v>
      </c>
      <c r="AF31" s="84">
        <f>IF($B31="",0,IF(OR(الحضور!$V33="W",الحضور!$V33="PH"),AE31+1,0))</f>
        <v>0</v>
      </c>
      <c r="AG31" s="84">
        <f>IF($B31="",0,IF(OR(الحضور!$W33="W",الحضور!$W33="PH"),AF31+1,0))</f>
        <v>0</v>
      </c>
      <c r="AH31" s="84">
        <f>IF($B31="",0,IF(OR(الحضور!$X33="W",الحضور!$X33="PH"),AG31+1,0))</f>
        <v>0</v>
      </c>
      <c r="AI31" s="84">
        <f>IF($B31="",0,IF(OR(الحضور!$Y33="W",الحضور!$Y33="PH"),AH31+1,0))</f>
        <v>1</v>
      </c>
      <c r="AJ31" s="84">
        <f>IF($B31="",0,IF(OR(الحضور!$Z33="W",الحضور!$Z33="PH"),AI31+1,0))</f>
        <v>2</v>
      </c>
      <c r="AK31" s="84">
        <f>IF($B31="",0,IF(OR(الحضور!$AA33="W",الحضور!$AA33="PH"),AJ31+1,0))</f>
        <v>0</v>
      </c>
      <c r="AL31" s="84">
        <f>IF($B31="",0,IF(OR(الحضور!$AB33="W",الحضور!$AB33="PH"),AK31+1,0))</f>
        <v>0</v>
      </c>
      <c r="AM31" s="84">
        <f>IF($B31="",0,IF(OR(الحضور!$AC33="W",الحضور!$AC33="PH"),AL31+1,0))</f>
        <v>0</v>
      </c>
      <c r="AN31" s="84">
        <f>IF($B31="",0,IF(OR(الحضور!$AD33="W",الحضور!$AD33="PH"),AM31+1,0))</f>
        <v>0</v>
      </c>
      <c r="AO31" s="84">
        <f>IF($B31="",0,IF(OR(الحضور!$AE33="W",الحضور!$AE33="PH"),AN31+1,0))</f>
        <v>0</v>
      </c>
      <c r="AP31" s="84">
        <f>IF($B31="",0,IF(OR(الحضور!$AF33="W",الحضور!$AF33="PH"),AO31+1,0))</f>
        <v>1</v>
      </c>
      <c r="AQ31" s="84">
        <f>IF($B31="",0,IF(OR(الحضور!$AG33="W",الحضور!$AG33="PH"),AP31+1,0))</f>
        <v>2</v>
      </c>
      <c r="AR31" s="84">
        <f>IF($B31="",0,IF(OR(الحضور!$AH33="W",الحضور!$AH33="PH"),AQ31+1,0))</f>
        <v>0</v>
      </c>
      <c r="AS31" s="84">
        <f>IF($B31="",0,IF(OR(الحضور!$AI33="W",الحضور!$AI33="PH"),AR31+1,0))</f>
        <v>0</v>
      </c>
      <c r="AT31" s="84">
        <f>IF($B31="",0,IF(OR(الحضور!$AJ33="W",الحضور!$AJ33="PH"),AS31+1,0))</f>
        <v>0</v>
      </c>
      <c r="AU31" s="84">
        <f>IF($B31="",0,IF(OR(الحضور!$AK33="W",الحضور!$AK33="PH"),AT31+1,0))</f>
        <v>0</v>
      </c>
      <c r="AV31" s="84">
        <f>IF($B31="",0,IF(OR(الحضور!$AL33="W",الحضور!$AL33="PH"),AU31+1,0))</f>
        <v>0</v>
      </c>
      <c r="AW31" s="84">
        <f>IF($B31="",0,IF(OR(الحضور!$AM33="W",الحضور!$AM33="PH"),AV31+1,0))</f>
        <v>1</v>
      </c>
      <c r="AX31" s="84">
        <f>IF($B31="",0,IF(OR(الحضور!$AN33="W",الحضور!$AN33="PH"),AW31+1,0))</f>
        <v>2</v>
      </c>
      <c r="AY31" s="84">
        <f>IF($B31="",0,IF(OR(الحضور!$AO33="W",الحضور!$AO33="PH"),AX31+1,0))</f>
        <v>0</v>
      </c>
      <c r="AZ31" s="84">
        <f>IF($B31="",0,IF(OR(الحضور!$AP33="W",الحضور!$AP33="PH"),AY31+1,0))</f>
        <v>0</v>
      </c>
      <c r="BB31" s="84">
        <f>IF($B31="",0,IF(الحضور!$L33="A",0+0+1,IF(OR(الحضور!$L33="W",الحضور!$L33="PH"),0,0)))</f>
        <v>0</v>
      </c>
      <c r="BC31" s="84">
        <f>IF($B31="",0,IF(الحضور!$M33="A",BB31+V31+1,IF(OR(الحضور!$M33="W",الحضور!$M33="PH"),BB31,0)))</f>
        <v>0</v>
      </c>
      <c r="BD31" s="84">
        <f>IF($B31="",0,IF(الحضور!$N33="A",BC31+W31+1,IF(OR(الحضور!$N33="W",الحضور!$N33="PH"),BC31,0)))</f>
        <v>0</v>
      </c>
      <c r="BE31" s="84">
        <f>IF($B31="",0,IF(الحضور!$O33="A",BD31+X31+1,IF(OR(الحضور!$O33="W",الحضور!$O33="PH"),BD31,0)))</f>
        <v>0</v>
      </c>
      <c r="BF31" s="84">
        <f>IF($B31="",0,IF(الحضور!$P33="A",BE31+Y31+1,IF(OR(الحضور!$P33="W",الحضور!$P33="PH"),BE31,0)))</f>
        <v>0</v>
      </c>
      <c r="BG31" s="84">
        <f>IF($B31="",0,IF(الحضور!$Q33="A",BF31+Z31+1,IF(OR(الحضور!$Q33="W",الحضور!$Q33="PH"),BF31,0)))</f>
        <v>0</v>
      </c>
      <c r="BH31" s="84">
        <f>IF($B31="",0,IF(الحضور!$R33="A",BG31+AA31+1,IF(OR(الحضور!$R33="W",الحضور!$R33="PH"),BG31,0)))</f>
        <v>0</v>
      </c>
      <c r="BI31" s="84">
        <f>IF($B31="",0,IF(الحضور!$S33="A",BH31+AB31+1,IF(OR(الحضور!$S33="W",الحضور!$S33="PH"),BH31,0)))</f>
        <v>0</v>
      </c>
      <c r="BJ31" s="84">
        <f>IF($B31="",0,IF(الحضور!$T33="A",BI31+AC31+1,IF(OR(الحضور!$T33="W",الحضور!$T33="PH"),BI31,0)))</f>
        <v>0</v>
      </c>
      <c r="BK31" s="84">
        <f>IF($B31="",0,IF(الحضور!$U33="A",BJ31+AD31+1,IF(OR(الحضور!$U33="W",الحضور!$U33="PH"),BJ31,0)))</f>
        <v>0</v>
      </c>
      <c r="BL31" s="84">
        <f>IF($B31="",0,IF(الحضور!$V33="A",BK31+AE31+1,IF(OR(الحضور!$V33="W",الحضور!$V33="PH"),BK31,0)))</f>
        <v>0</v>
      </c>
      <c r="BM31" s="84">
        <f>IF($B31="",0,IF(الحضور!$W33="A",BL31+AF31+1,IF(OR(الحضور!$W33="W",الحضور!$W33="PH"),BL31,0)))</f>
        <v>0</v>
      </c>
      <c r="BN31" s="84">
        <f>IF($B31="",0,IF(الحضور!$X33="A",BM31+AG31+1,IF(OR(الحضور!$X33="W",الحضور!$X33="PH"),BM31,0)))</f>
        <v>0</v>
      </c>
      <c r="BO31" s="84">
        <f>IF($B31="",0,IF(الحضور!$Y33="A",BN31+AH31+1,IF(OR(الحضور!$Y33="W",الحضور!$Y33="PH"),BN31,0)))</f>
        <v>0</v>
      </c>
      <c r="BP31" s="84">
        <f>IF($B31="",0,IF(الحضور!$Z33="A",BO31+AI31+1,IF(OR(الحضور!$Z33="W",الحضور!$Z33="PH"),BO31,0)))</f>
        <v>0</v>
      </c>
      <c r="BQ31" s="84">
        <f>IF($B31="",0,IF(الحضور!$AA33="A",BP31+AJ31+1,IF(OR(الحضور!$AA33="W",الحضور!$AA33="PH"),BP31,0)))</f>
        <v>0</v>
      </c>
      <c r="BR31" s="84">
        <f>IF($B31="",0,IF(الحضور!$AB33="A",BQ31+AK31+1,IF(OR(الحضور!$AB33="W",الحضور!$AB33="PH"),BQ31,0)))</f>
        <v>1</v>
      </c>
      <c r="BS31" s="84">
        <f>IF($B31="",0,IF(الحضور!$AC33="A",BR31+AL31+1,IF(OR(الحضور!$AC33="W",الحضور!$AC33="PH"),BR31,0)))</f>
        <v>2</v>
      </c>
      <c r="BT31" s="84">
        <f>IF($B31="",0,IF(الحضور!$AD33="A",BS31+AM31+1,IF(OR(الحضور!$AD33="W",الحضور!$AD33="PH"),BS31,0)))</f>
        <v>3</v>
      </c>
      <c r="BU31" s="84">
        <f>IF($B31="",0,IF(الحضور!$AE33="A",BT31+AN31+1,IF(OR(الحضور!$AE33="W",الحضور!$AE33="PH"),BT31,0)))</f>
        <v>4</v>
      </c>
      <c r="BV31" s="84">
        <f>IF($B31="",0,IF(الحضور!$AF33="A",BU31+AO31+1,IF(OR(الحضور!$AF33="W",الحضور!$AF33="PH"),BU31,0)))</f>
        <v>4</v>
      </c>
      <c r="BW31" s="84">
        <f>IF($B31="",0,IF(الحضور!$AG33="A",BV31+AP31+1,IF(OR(الحضور!$AG33="W",الحضور!$AG33="PH"),BV31,0)))</f>
        <v>4</v>
      </c>
      <c r="BX31" s="84">
        <f>IF($B31="",0,IF(الحضور!$AH33="A",BW31+AQ31+1,IF(OR(الحضور!$AH33="W",الحضور!$AH33="PH"),BW31,0)))</f>
        <v>0</v>
      </c>
      <c r="BY31" s="84">
        <f>IF($B31="",0,IF(الحضور!$AI33="A",BX31+AR31+1,IF(OR(الحضور!$AI33="W",الحضور!$AI33="PH"),BX31,0)))</f>
        <v>0</v>
      </c>
      <c r="BZ31" s="84">
        <f>IF($B31="",0,IF(الحضور!$AJ33="A",BY31+AS31+1,IF(OR(الحضور!$AJ33="W",الحضور!$AJ33="PH"),BY31,0)))</f>
        <v>0</v>
      </c>
      <c r="CA31" s="84">
        <f>IF($B31="",0,IF(الحضور!$AK33="A",BZ31+AT31+1,IF(OR(الحضور!$AK33="W",الحضور!$AK33="PH"),BZ31,0)))</f>
        <v>0</v>
      </c>
      <c r="CB31" s="84">
        <f>IF($B31="",0,IF(الحضور!$AL33="A",CA31+AU31+1,IF(OR(الحضور!$AL33="W",الحضور!$AL33="PH"),CA31,0)))</f>
        <v>0</v>
      </c>
      <c r="CC31" s="84">
        <f>IF($B31="",0,IF(الحضور!$AM33="A",CB31+AV31+1,IF(OR(الحضور!$AM33="W",الحضور!$AM33="PH"),CB31,0)))</f>
        <v>0</v>
      </c>
      <c r="CD31" s="84">
        <f>IF($B31="",0,IF(الحضور!$AN33="A",CC31+AW31+1,IF(OR(الحضور!$AN33="W",الحضور!$AN33="PH"),CC31,0)))</f>
        <v>0</v>
      </c>
      <c r="CE31" s="84">
        <f>IF($B31="",0,IF(الحضور!$AO33="A",CD31+AX31+1,IF(OR(الحضور!$AO33="W",الحضور!$AO33="PH"),CD31,0)))</f>
        <v>0</v>
      </c>
      <c r="CF31" s="84">
        <f>IF($B31="",0,IF(الحضور!$AP33="A",CE31+AY31+1,IF(OR(الحضور!$AP33="W",الحضور!$AP33="PH"),CE31,0)))</f>
        <v>0</v>
      </c>
    </row>
    <row r="32" spans="1:84" ht="16.5" customHeight="1" x14ac:dyDescent="0.35">
      <c r="A32" s="18">
        <v>27</v>
      </c>
      <c r="B32" s="62" t="str">
        <f>IF(الموظفون!$B32="","",الموظفون!$B32)</f>
        <v>EMP-027</v>
      </c>
      <c r="C32" s="61" t="str">
        <f>IF($B32="","",الموظفون!$C32)</f>
        <v>أميرة زكي الحسيني</v>
      </c>
      <c r="D32" s="32"/>
      <c r="E32" s="32"/>
      <c r="F32" s="32"/>
      <c r="G32" s="32"/>
      <c r="H32" s="32"/>
      <c r="I32" s="32"/>
      <c r="J32" s="32"/>
      <c r="K32" s="32"/>
      <c r="L32" s="32"/>
      <c r="M32" s="32"/>
      <c r="N32" s="32"/>
      <c r="O32" s="32"/>
      <c r="P32" s="34">
        <f>IF($B32="","",SUM($D32:$O32)+IF(INDEX($D32:$O32,1,الإعدادات!$C$13)="",$Q32,0))</f>
        <v>0</v>
      </c>
      <c r="Q32" s="51">
        <f>IF($B32="","",الحضور!$G34)</f>
        <v>0</v>
      </c>
      <c r="R32" s="34">
        <f t="shared" si="0"/>
        <v>0</v>
      </c>
      <c r="S32" s="32"/>
      <c r="T32" s="61" t="str">
        <f>IF($B32="","",IF(OR($R32&gt;الإعدادات!$C$36,$S32&gt;الإعدادات!$C$36),"تجاوز حد الإنهاء — غياب متصل",IF($P32&gt;الإعدادات!$C$37,"تجاوز حد الإنهاء — غياب متقطع",IF(OR($R32&gt;=الإعدادات!$C$34,$S32&gt;=الإعدادات!$C$34),"إنذار كتابي واجب — غياب متصل",IF($P32&gt;=الإعدادات!$C$35,"إنذار كتابي واجب — غياب متقطع","سليم")))))</f>
        <v>سليم</v>
      </c>
      <c r="V32" s="84">
        <f>IF($B32="",0,IF(OR(الحضور!$L34="W",الحضور!$L34="PH"),0+1,0))</f>
        <v>1</v>
      </c>
      <c r="W32" s="84">
        <f>IF($B32="",0,IF(OR(الحضور!$M34="W",الحضور!$M34="PH"),V32+1,0))</f>
        <v>0</v>
      </c>
      <c r="X32" s="84">
        <f>IF($B32="",0,IF(OR(الحضور!$N34="W",الحضور!$N34="PH"),W32+1,0))</f>
        <v>0</v>
      </c>
      <c r="Y32" s="84">
        <f>IF($B32="",0,IF(OR(الحضور!$O34="W",الحضور!$O34="PH"),X32+1,0))</f>
        <v>0</v>
      </c>
      <c r="Z32" s="84">
        <f>IF($B32="",0,IF(OR(الحضور!$P34="W",الحضور!$P34="PH"),Y32+1,0))</f>
        <v>0</v>
      </c>
      <c r="AA32" s="84">
        <f>IF($B32="",0,IF(OR(الحضور!$Q34="W",الحضور!$Q34="PH"),Z32+1,0))</f>
        <v>0</v>
      </c>
      <c r="AB32" s="84">
        <f>IF($B32="",0,IF(OR(الحضور!$R34="W",الحضور!$R34="PH"),AA32+1,0))</f>
        <v>1</v>
      </c>
      <c r="AC32" s="84">
        <f>IF($B32="",0,IF(OR(الحضور!$S34="W",الحضور!$S34="PH"),AB32+1,0))</f>
        <v>2</v>
      </c>
      <c r="AD32" s="84">
        <f>IF($B32="",0,IF(OR(الحضور!$T34="W",الحضور!$T34="PH"),AC32+1,0))</f>
        <v>0</v>
      </c>
      <c r="AE32" s="84">
        <f>IF($B32="",0,IF(OR(الحضور!$U34="W",الحضور!$U34="PH"),AD32+1,0))</f>
        <v>0</v>
      </c>
      <c r="AF32" s="84">
        <f>IF($B32="",0,IF(OR(الحضور!$V34="W",الحضور!$V34="PH"),AE32+1,0))</f>
        <v>0</v>
      </c>
      <c r="AG32" s="84">
        <f>IF($B32="",0,IF(OR(الحضور!$W34="W",الحضور!$W34="PH"),AF32+1,0))</f>
        <v>0</v>
      </c>
      <c r="AH32" s="84">
        <f>IF($B32="",0,IF(OR(الحضور!$X34="W",الحضور!$X34="PH"),AG32+1,0))</f>
        <v>0</v>
      </c>
      <c r="AI32" s="84">
        <f>IF($B32="",0,IF(OR(الحضور!$Y34="W",الحضور!$Y34="PH"),AH32+1,0))</f>
        <v>1</v>
      </c>
      <c r="AJ32" s="84">
        <f>IF($B32="",0,IF(OR(الحضور!$Z34="W",الحضور!$Z34="PH"),AI32+1,0))</f>
        <v>2</v>
      </c>
      <c r="AK32" s="84">
        <f>IF($B32="",0,IF(OR(الحضور!$AA34="W",الحضور!$AA34="PH"),AJ32+1,0))</f>
        <v>0</v>
      </c>
      <c r="AL32" s="84">
        <f>IF($B32="",0,IF(OR(الحضور!$AB34="W",الحضور!$AB34="PH"),AK32+1,0))</f>
        <v>0</v>
      </c>
      <c r="AM32" s="84">
        <f>IF($B32="",0,IF(OR(الحضور!$AC34="W",الحضور!$AC34="PH"),AL32+1,0))</f>
        <v>0</v>
      </c>
      <c r="AN32" s="84">
        <f>IF($B32="",0,IF(OR(الحضور!$AD34="W",الحضور!$AD34="PH"),AM32+1,0))</f>
        <v>0</v>
      </c>
      <c r="AO32" s="84">
        <f>IF($B32="",0,IF(OR(الحضور!$AE34="W",الحضور!$AE34="PH"),AN32+1,0))</f>
        <v>0</v>
      </c>
      <c r="AP32" s="84">
        <f>IF($B32="",0,IF(OR(الحضور!$AF34="W",الحضور!$AF34="PH"),AO32+1,0))</f>
        <v>1</v>
      </c>
      <c r="AQ32" s="84">
        <f>IF($B32="",0,IF(OR(الحضور!$AG34="W",الحضور!$AG34="PH"),AP32+1,0))</f>
        <v>2</v>
      </c>
      <c r="AR32" s="84">
        <f>IF($B32="",0,IF(OR(الحضور!$AH34="W",الحضور!$AH34="PH"),AQ32+1,0))</f>
        <v>0</v>
      </c>
      <c r="AS32" s="84">
        <f>IF($B32="",0,IF(OR(الحضور!$AI34="W",الحضور!$AI34="PH"),AR32+1,0))</f>
        <v>0</v>
      </c>
      <c r="AT32" s="84">
        <f>IF($B32="",0,IF(OR(الحضور!$AJ34="W",الحضور!$AJ34="PH"),AS32+1,0))</f>
        <v>0</v>
      </c>
      <c r="AU32" s="84">
        <f>IF($B32="",0,IF(OR(الحضور!$AK34="W",الحضور!$AK34="PH"),AT32+1,0))</f>
        <v>0</v>
      </c>
      <c r="AV32" s="84">
        <f>IF($B32="",0,IF(OR(الحضور!$AL34="W",الحضور!$AL34="PH"),AU32+1,0))</f>
        <v>0</v>
      </c>
      <c r="AW32" s="84">
        <f>IF($B32="",0,IF(OR(الحضور!$AM34="W",الحضور!$AM34="PH"),AV32+1,0))</f>
        <v>1</v>
      </c>
      <c r="AX32" s="84">
        <f>IF($B32="",0,IF(OR(الحضور!$AN34="W",الحضور!$AN34="PH"),AW32+1,0))</f>
        <v>2</v>
      </c>
      <c r="AY32" s="84">
        <f>IF($B32="",0,IF(OR(الحضور!$AO34="W",الحضور!$AO34="PH"),AX32+1,0))</f>
        <v>0</v>
      </c>
      <c r="AZ32" s="84">
        <f>IF($B32="",0,IF(OR(الحضور!$AP34="W",الحضور!$AP34="PH"),AY32+1,0))</f>
        <v>0</v>
      </c>
      <c r="BB32" s="84">
        <f>IF($B32="",0,IF(الحضور!$L34="A",0+0+1,IF(OR(الحضور!$L34="W",الحضور!$L34="PH"),0,0)))</f>
        <v>0</v>
      </c>
      <c r="BC32" s="84">
        <f>IF($B32="",0,IF(الحضور!$M34="A",BB32+V32+1,IF(OR(الحضور!$M34="W",الحضور!$M34="PH"),BB32,0)))</f>
        <v>0</v>
      </c>
      <c r="BD32" s="84">
        <f>IF($B32="",0,IF(الحضور!$N34="A",BC32+W32+1,IF(OR(الحضور!$N34="W",الحضور!$N34="PH"),BC32,0)))</f>
        <v>0</v>
      </c>
      <c r="BE32" s="84">
        <f>IF($B32="",0,IF(الحضور!$O34="A",BD32+X32+1,IF(OR(الحضور!$O34="W",الحضور!$O34="PH"),BD32,0)))</f>
        <v>0</v>
      </c>
      <c r="BF32" s="84">
        <f>IF($B32="",0,IF(الحضور!$P34="A",BE32+Y32+1,IF(OR(الحضور!$P34="W",الحضور!$P34="PH"),BE32,0)))</f>
        <v>0</v>
      </c>
      <c r="BG32" s="84">
        <f>IF($B32="",0,IF(الحضور!$Q34="A",BF32+Z32+1,IF(OR(الحضور!$Q34="W",الحضور!$Q34="PH"),BF32,0)))</f>
        <v>0</v>
      </c>
      <c r="BH32" s="84">
        <f>IF($B32="",0,IF(الحضور!$R34="A",BG32+AA32+1,IF(OR(الحضور!$R34="W",الحضور!$R34="PH"),BG32,0)))</f>
        <v>0</v>
      </c>
      <c r="BI32" s="84">
        <f>IF($B32="",0,IF(الحضور!$S34="A",BH32+AB32+1,IF(OR(الحضور!$S34="W",الحضور!$S34="PH"),BH32,0)))</f>
        <v>0</v>
      </c>
      <c r="BJ32" s="84">
        <f>IF($B32="",0,IF(الحضور!$T34="A",BI32+AC32+1,IF(OR(الحضور!$T34="W",الحضور!$T34="PH"),BI32,0)))</f>
        <v>0</v>
      </c>
      <c r="BK32" s="84">
        <f>IF($B32="",0,IF(الحضور!$U34="A",BJ32+AD32+1,IF(OR(الحضور!$U34="W",الحضور!$U34="PH"),BJ32,0)))</f>
        <v>0</v>
      </c>
      <c r="BL32" s="84">
        <f>IF($B32="",0,IF(الحضور!$V34="A",BK32+AE32+1,IF(OR(الحضور!$V34="W",الحضور!$V34="PH"),BK32,0)))</f>
        <v>0</v>
      </c>
      <c r="BM32" s="84">
        <f>IF($B32="",0,IF(الحضور!$W34="A",BL32+AF32+1,IF(OR(الحضور!$W34="W",الحضور!$W34="PH"),BL32,0)))</f>
        <v>0</v>
      </c>
      <c r="BN32" s="84">
        <f>IF($B32="",0,IF(الحضور!$X34="A",BM32+AG32+1,IF(OR(الحضور!$X34="W",الحضور!$X34="PH"),BM32,0)))</f>
        <v>0</v>
      </c>
      <c r="BO32" s="84">
        <f>IF($B32="",0,IF(الحضور!$Y34="A",BN32+AH32+1,IF(OR(الحضور!$Y34="W",الحضور!$Y34="PH"),BN32,0)))</f>
        <v>0</v>
      </c>
      <c r="BP32" s="84">
        <f>IF($B32="",0,IF(الحضور!$Z34="A",BO32+AI32+1,IF(OR(الحضور!$Z34="W",الحضور!$Z34="PH"),BO32,0)))</f>
        <v>0</v>
      </c>
      <c r="BQ32" s="84">
        <f>IF($B32="",0,IF(الحضور!$AA34="A",BP32+AJ32+1,IF(OR(الحضور!$AA34="W",الحضور!$AA34="PH"),BP32,0)))</f>
        <v>0</v>
      </c>
      <c r="BR32" s="84">
        <f>IF($B32="",0,IF(الحضور!$AB34="A",BQ32+AK32+1,IF(OR(الحضور!$AB34="W",الحضور!$AB34="PH"),BQ32,0)))</f>
        <v>0</v>
      </c>
      <c r="BS32" s="84">
        <f>IF($B32="",0,IF(الحضور!$AC34="A",BR32+AL32+1,IF(OR(الحضور!$AC34="W",الحضور!$AC34="PH"),BR32,0)))</f>
        <v>0</v>
      </c>
      <c r="BT32" s="84">
        <f>IF($B32="",0,IF(الحضور!$AD34="A",BS32+AM32+1,IF(OR(الحضور!$AD34="W",الحضور!$AD34="PH"),BS32,0)))</f>
        <v>0</v>
      </c>
      <c r="BU32" s="84">
        <f>IF($B32="",0,IF(الحضور!$AE34="A",BT32+AN32+1,IF(OR(الحضور!$AE34="W",الحضور!$AE34="PH"),BT32,0)))</f>
        <v>0</v>
      </c>
      <c r="BV32" s="84">
        <f>IF($B32="",0,IF(الحضور!$AF34="A",BU32+AO32+1,IF(OR(الحضور!$AF34="W",الحضور!$AF34="PH"),BU32,0)))</f>
        <v>0</v>
      </c>
      <c r="BW32" s="84">
        <f>IF($B32="",0,IF(الحضور!$AG34="A",BV32+AP32+1,IF(OR(الحضور!$AG34="W",الحضور!$AG34="PH"),BV32,0)))</f>
        <v>0</v>
      </c>
      <c r="BX32" s="84">
        <f>IF($B32="",0,IF(الحضور!$AH34="A",BW32+AQ32+1,IF(OR(الحضور!$AH34="W",الحضور!$AH34="PH"),BW32,0)))</f>
        <v>0</v>
      </c>
      <c r="BY32" s="84">
        <f>IF($B32="",0,IF(الحضور!$AI34="A",BX32+AR32+1,IF(OR(الحضور!$AI34="W",الحضور!$AI34="PH"),BX32,0)))</f>
        <v>0</v>
      </c>
      <c r="BZ32" s="84">
        <f>IF($B32="",0,IF(الحضور!$AJ34="A",BY32+AS32+1,IF(OR(الحضور!$AJ34="W",الحضور!$AJ34="PH"),BY32,0)))</f>
        <v>0</v>
      </c>
      <c r="CA32" s="84">
        <f>IF($B32="",0,IF(الحضور!$AK34="A",BZ32+AT32+1,IF(OR(الحضور!$AK34="W",الحضور!$AK34="PH"),BZ32,0)))</f>
        <v>0</v>
      </c>
      <c r="CB32" s="84">
        <f>IF($B32="",0,IF(الحضور!$AL34="A",CA32+AU32+1,IF(OR(الحضور!$AL34="W",الحضور!$AL34="PH"),CA32,0)))</f>
        <v>0</v>
      </c>
      <c r="CC32" s="84">
        <f>IF($B32="",0,IF(الحضور!$AM34="A",CB32+AV32+1,IF(OR(الحضور!$AM34="W",الحضور!$AM34="PH"),CB32,0)))</f>
        <v>0</v>
      </c>
      <c r="CD32" s="84">
        <f>IF($B32="",0,IF(الحضور!$AN34="A",CC32+AW32+1,IF(OR(الحضور!$AN34="W",الحضور!$AN34="PH"),CC32,0)))</f>
        <v>0</v>
      </c>
      <c r="CE32" s="84">
        <f>IF($B32="",0,IF(الحضور!$AO34="A",CD32+AX32+1,IF(OR(الحضور!$AO34="W",الحضور!$AO34="PH"),CD32,0)))</f>
        <v>0</v>
      </c>
      <c r="CF32" s="84">
        <f>IF($B32="",0,IF(الحضور!$AP34="A",CE32+AY32+1,IF(OR(الحضور!$AP34="W",الحضور!$AP34="PH"),CE32,0)))</f>
        <v>0</v>
      </c>
    </row>
    <row r="33" spans="1:84" ht="16.5" customHeight="1" x14ac:dyDescent="0.35">
      <c r="A33" s="18">
        <v>28</v>
      </c>
      <c r="B33" s="62" t="str">
        <f>IF(الموظفون!$B33="","",الموظفون!$B33)</f>
        <v>EMP-028</v>
      </c>
      <c r="C33" s="61" t="str">
        <f>IF($B33="","",الموظفون!$C33)</f>
        <v>دلال البلوي</v>
      </c>
      <c r="D33" s="32"/>
      <c r="E33" s="32"/>
      <c r="F33" s="32"/>
      <c r="G33" s="32"/>
      <c r="H33" s="32"/>
      <c r="I33" s="32"/>
      <c r="J33" s="32"/>
      <c r="K33" s="32"/>
      <c r="L33" s="32"/>
      <c r="M33" s="32"/>
      <c r="N33" s="32"/>
      <c r="O33" s="32"/>
      <c r="P33" s="34">
        <f>IF($B33="","",SUM($D33:$O33)+IF(INDEX($D33:$O33,1,الإعدادات!$C$13)="",$Q33,0))</f>
        <v>0</v>
      </c>
      <c r="Q33" s="51">
        <f>IF($B33="","",الحضور!$G35)</f>
        <v>0</v>
      </c>
      <c r="R33" s="34">
        <f t="shared" si="0"/>
        <v>0</v>
      </c>
      <c r="S33" s="32"/>
      <c r="T33" s="61" t="str">
        <f>IF($B33="","",IF(OR($R33&gt;الإعدادات!$C$36,$S33&gt;الإعدادات!$C$36),"تجاوز حد الإنهاء — غياب متصل",IF($P33&gt;الإعدادات!$C$37,"تجاوز حد الإنهاء — غياب متقطع",IF(OR($R33&gt;=الإعدادات!$C$34,$S33&gt;=الإعدادات!$C$34),"إنذار كتابي واجب — غياب متصل",IF($P33&gt;=الإعدادات!$C$35,"إنذار كتابي واجب — غياب متقطع","سليم")))))</f>
        <v>سليم</v>
      </c>
      <c r="V33" s="84">
        <f>IF($B33="",0,IF(OR(الحضور!$L35="W",الحضور!$L35="PH"),0+1,0))</f>
        <v>1</v>
      </c>
      <c r="W33" s="84">
        <f>IF($B33="",0,IF(OR(الحضور!$M35="W",الحضور!$M35="PH"),V33+1,0))</f>
        <v>0</v>
      </c>
      <c r="X33" s="84">
        <f>IF($B33="",0,IF(OR(الحضور!$N35="W",الحضور!$N35="PH"),W33+1,0))</f>
        <v>0</v>
      </c>
      <c r="Y33" s="84">
        <f>IF($B33="",0,IF(OR(الحضور!$O35="W",الحضور!$O35="PH"),X33+1,0))</f>
        <v>0</v>
      </c>
      <c r="Z33" s="84">
        <f>IF($B33="",0,IF(OR(الحضور!$P35="W",الحضور!$P35="PH"),Y33+1,0))</f>
        <v>0</v>
      </c>
      <c r="AA33" s="84">
        <f>IF($B33="",0,IF(OR(الحضور!$Q35="W",الحضور!$Q35="PH"),Z33+1,0))</f>
        <v>0</v>
      </c>
      <c r="AB33" s="84">
        <f>IF($B33="",0,IF(OR(الحضور!$R35="W",الحضور!$R35="PH"),AA33+1,0))</f>
        <v>1</v>
      </c>
      <c r="AC33" s="84">
        <f>IF($B33="",0,IF(OR(الحضور!$S35="W",الحضور!$S35="PH"),AB33+1,0))</f>
        <v>2</v>
      </c>
      <c r="AD33" s="84">
        <f>IF($B33="",0,IF(OR(الحضور!$T35="W",الحضور!$T35="PH"),AC33+1,0))</f>
        <v>0</v>
      </c>
      <c r="AE33" s="84">
        <f>IF($B33="",0,IF(OR(الحضور!$U35="W",الحضور!$U35="PH"),AD33+1,0))</f>
        <v>0</v>
      </c>
      <c r="AF33" s="84">
        <f>IF($B33="",0,IF(OR(الحضور!$V35="W",الحضور!$V35="PH"),AE33+1,0))</f>
        <v>0</v>
      </c>
      <c r="AG33" s="84">
        <f>IF($B33="",0,IF(OR(الحضور!$W35="W",الحضور!$W35="PH"),AF33+1,0))</f>
        <v>0</v>
      </c>
      <c r="AH33" s="84">
        <f>IF($B33="",0,IF(OR(الحضور!$X35="W",الحضور!$X35="PH"),AG33+1,0))</f>
        <v>0</v>
      </c>
      <c r="AI33" s="84">
        <f>IF($B33="",0,IF(OR(الحضور!$Y35="W",الحضور!$Y35="PH"),AH33+1,0))</f>
        <v>1</v>
      </c>
      <c r="AJ33" s="84">
        <f>IF($B33="",0,IF(OR(الحضور!$Z35="W",الحضور!$Z35="PH"),AI33+1,0))</f>
        <v>2</v>
      </c>
      <c r="AK33" s="84">
        <f>IF($B33="",0,IF(OR(الحضور!$AA35="W",الحضور!$AA35="PH"),AJ33+1,0))</f>
        <v>0</v>
      </c>
      <c r="AL33" s="84">
        <f>IF($B33="",0,IF(OR(الحضور!$AB35="W",الحضور!$AB35="PH"),AK33+1,0))</f>
        <v>0</v>
      </c>
      <c r="AM33" s="84">
        <f>IF($B33="",0,IF(OR(الحضور!$AC35="W",الحضور!$AC35="PH"),AL33+1,0))</f>
        <v>0</v>
      </c>
      <c r="AN33" s="84">
        <f>IF($B33="",0,IF(OR(الحضور!$AD35="W",الحضور!$AD35="PH"),AM33+1,0))</f>
        <v>0</v>
      </c>
      <c r="AO33" s="84">
        <f>IF($B33="",0,IF(OR(الحضور!$AE35="W",الحضور!$AE35="PH"),AN33+1,0))</f>
        <v>0</v>
      </c>
      <c r="AP33" s="84">
        <f>IF($B33="",0,IF(OR(الحضور!$AF35="W",الحضور!$AF35="PH"),AO33+1,0))</f>
        <v>1</v>
      </c>
      <c r="AQ33" s="84">
        <f>IF($B33="",0,IF(OR(الحضور!$AG35="W",الحضور!$AG35="PH"),AP33+1,0))</f>
        <v>2</v>
      </c>
      <c r="AR33" s="84">
        <f>IF($B33="",0,IF(OR(الحضور!$AH35="W",الحضور!$AH35="PH"),AQ33+1,0))</f>
        <v>0</v>
      </c>
      <c r="AS33" s="84">
        <f>IF($B33="",0,IF(OR(الحضور!$AI35="W",الحضور!$AI35="PH"),AR33+1,0))</f>
        <v>0</v>
      </c>
      <c r="AT33" s="84">
        <f>IF($B33="",0,IF(OR(الحضور!$AJ35="W",الحضور!$AJ35="PH"),AS33+1,0))</f>
        <v>0</v>
      </c>
      <c r="AU33" s="84">
        <f>IF($B33="",0,IF(OR(الحضور!$AK35="W",الحضور!$AK35="PH"),AT33+1,0))</f>
        <v>0</v>
      </c>
      <c r="AV33" s="84">
        <f>IF($B33="",0,IF(OR(الحضور!$AL35="W",الحضور!$AL35="PH"),AU33+1,0))</f>
        <v>0</v>
      </c>
      <c r="AW33" s="84">
        <f>IF($B33="",0,IF(OR(الحضور!$AM35="W",الحضور!$AM35="PH"),AV33+1,0))</f>
        <v>1</v>
      </c>
      <c r="AX33" s="84">
        <f>IF($B33="",0,IF(OR(الحضور!$AN35="W",الحضور!$AN35="PH"),AW33+1,0))</f>
        <v>2</v>
      </c>
      <c r="AY33" s="84">
        <f>IF($B33="",0,IF(OR(الحضور!$AO35="W",الحضور!$AO35="PH"),AX33+1,0))</f>
        <v>0</v>
      </c>
      <c r="AZ33" s="84">
        <f>IF($B33="",0,IF(OR(الحضور!$AP35="W",الحضور!$AP35="PH"),AY33+1,0))</f>
        <v>0</v>
      </c>
      <c r="BB33" s="84">
        <f>IF($B33="",0,IF(الحضور!$L35="A",0+0+1,IF(OR(الحضور!$L35="W",الحضور!$L35="PH"),0,0)))</f>
        <v>0</v>
      </c>
      <c r="BC33" s="84">
        <f>IF($B33="",0,IF(الحضور!$M35="A",BB33+V33+1,IF(OR(الحضور!$M35="W",الحضور!$M35="PH"),BB33,0)))</f>
        <v>0</v>
      </c>
      <c r="BD33" s="84">
        <f>IF($B33="",0,IF(الحضور!$N35="A",BC33+W33+1,IF(OR(الحضور!$N35="W",الحضور!$N35="PH"),BC33,0)))</f>
        <v>0</v>
      </c>
      <c r="BE33" s="84">
        <f>IF($B33="",0,IF(الحضور!$O35="A",BD33+X33+1,IF(OR(الحضور!$O35="W",الحضور!$O35="PH"),BD33,0)))</f>
        <v>0</v>
      </c>
      <c r="BF33" s="84">
        <f>IF($B33="",0,IF(الحضور!$P35="A",BE33+Y33+1,IF(OR(الحضور!$P35="W",الحضور!$P35="PH"),BE33,0)))</f>
        <v>0</v>
      </c>
      <c r="BG33" s="84">
        <f>IF($B33="",0,IF(الحضور!$Q35="A",BF33+Z33+1,IF(OR(الحضور!$Q35="W",الحضور!$Q35="PH"),BF33,0)))</f>
        <v>0</v>
      </c>
      <c r="BH33" s="84">
        <f>IF($B33="",0,IF(الحضور!$R35="A",BG33+AA33+1,IF(OR(الحضور!$R35="W",الحضور!$R35="PH"),BG33,0)))</f>
        <v>0</v>
      </c>
      <c r="BI33" s="84">
        <f>IF($B33="",0,IF(الحضور!$S35="A",BH33+AB33+1,IF(OR(الحضور!$S35="W",الحضور!$S35="PH"),BH33,0)))</f>
        <v>0</v>
      </c>
      <c r="BJ33" s="84">
        <f>IF($B33="",0,IF(الحضور!$T35="A",BI33+AC33+1,IF(OR(الحضور!$T35="W",الحضور!$T35="PH"),BI33,0)))</f>
        <v>0</v>
      </c>
      <c r="BK33" s="84">
        <f>IF($B33="",0,IF(الحضور!$U35="A",BJ33+AD33+1,IF(OR(الحضور!$U35="W",الحضور!$U35="PH"),BJ33,0)))</f>
        <v>0</v>
      </c>
      <c r="BL33" s="84">
        <f>IF($B33="",0,IF(الحضور!$V35="A",BK33+AE33+1,IF(OR(الحضور!$V35="W",الحضور!$V35="PH"),BK33,0)))</f>
        <v>0</v>
      </c>
      <c r="BM33" s="84">
        <f>IF($B33="",0,IF(الحضور!$W35="A",BL33+AF33+1,IF(OR(الحضور!$W35="W",الحضور!$W35="PH"),BL33,0)))</f>
        <v>0</v>
      </c>
      <c r="BN33" s="84">
        <f>IF($B33="",0,IF(الحضور!$X35="A",BM33+AG33+1,IF(OR(الحضور!$X35="W",الحضور!$X35="PH"),BM33,0)))</f>
        <v>0</v>
      </c>
      <c r="BO33" s="84">
        <f>IF($B33="",0,IF(الحضور!$Y35="A",BN33+AH33+1,IF(OR(الحضور!$Y35="W",الحضور!$Y35="PH"),BN33,0)))</f>
        <v>0</v>
      </c>
      <c r="BP33" s="84">
        <f>IF($B33="",0,IF(الحضور!$Z35="A",BO33+AI33+1,IF(OR(الحضور!$Z35="W",الحضور!$Z35="PH"),BO33,0)))</f>
        <v>0</v>
      </c>
      <c r="BQ33" s="84">
        <f>IF($B33="",0,IF(الحضور!$AA35="A",BP33+AJ33+1,IF(OR(الحضور!$AA35="W",الحضور!$AA35="PH"),BP33,0)))</f>
        <v>0</v>
      </c>
      <c r="BR33" s="84">
        <f>IF($B33="",0,IF(الحضور!$AB35="A",BQ33+AK33+1,IF(OR(الحضور!$AB35="W",الحضور!$AB35="PH"),BQ33,0)))</f>
        <v>0</v>
      </c>
      <c r="BS33" s="84">
        <f>IF($B33="",0,IF(الحضور!$AC35="A",BR33+AL33+1,IF(OR(الحضور!$AC35="W",الحضور!$AC35="PH"),BR33,0)))</f>
        <v>0</v>
      </c>
      <c r="BT33" s="84">
        <f>IF($B33="",0,IF(الحضور!$AD35="A",BS33+AM33+1,IF(OR(الحضور!$AD35="W",الحضور!$AD35="PH"),BS33,0)))</f>
        <v>0</v>
      </c>
      <c r="BU33" s="84">
        <f>IF($B33="",0,IF(الحضور!$AE35="A",BT33+AN33+1,IF(OR(الحضور!$AE35="W",الحضور!$AE35="PH"),BT33,0)))</f>
        <v>0</v>
      </c>
      <c r="BV33" s="84">
        <f>IF($B33="",0,IF(الحضور!$AF35="A",BU33+AO33+1,IF(OR(الحضور!$AF35="W",الحضور!$AF35="PH"),BU33,0)))</f>
        <v>0</v>
      </c>
      <c r="BW33" s="84">
        <f>IF($B33="",0,IF(الحضور!$AG35="A",BV33+AP33+1,IF(OR(الحضور!$AG35="W",الحضور!$AG35="PH"),BV33,0)))</f>
        <v>0</v>
      </c>
      <c r="BX33" s="84">
        <f>IF($B33="",0,IF(الحضور!$AH35="A",BW33+AQ33+1,IF(OR(الحضور!$AH35="W",الحضور!$AH35="PH"),BW33,0)))</f>
        <v>0</v>
      </c>
      <c r="BY33" s="84">
        <f>IF($B33="",0,IF(الحضور!$AI35="A",BX33+AR33+1,IF(OR(الحضور!$AI35="W",الحضور!$AI35="PH"),BX33,0)))</f>
        <v>0</v>
      </c>
      <c r="BZ33" s="84">
        <f>IF($B33="",0,IF(الحضور!$AJ35="A",BY33+AS33+1,IF(OR(الحضور!$AJ35="W",الحضور!$AJ35="PH"),BY33,0)))</f>
        <v>0</v>
      </c>
      <c r="CA33" s="84">
        <f>IF($B33="",0,IF(الحضور!$AK35="A",BZ33+AT33+1,IF(OR(الحضور!$AK35="W",الحضور!$AK35="PH"),BZ33,0)))</f>
        <v>0</v>
      </c>
      <c r="CB33" s="84">
        <f>IF($B33="",0,IF(الحضور!$AL35="A",CA33+AU33+1,IF(OR(الحضور!$AL35="W",الحضور!$AL35="PH"),CA33,0)))</f>
        <v>0</v>
      </c>
      <c r="CC33" s="84">
        <f>IF($B33="",0,IF(الحضور!$AM35="A",CB33+AV33+1,IF(OR(الحضور!$AM35="W",الحضور!$AM35="PH"),CB33,0)))</f>
        <v>0</v>
      </c>
      <c r="CD33" s="84">
        <f>IF($B33="",0,IF(الحضور!$AN35="A",CC33+AW33+1,IF(OR(الحضور!$AN35="W",الحضور!$AN35="PH"),CC33,0)))</f>
        <v>0</v>
      </c>
      <c r="CE33" s="84">
        <f>IF($B33="",0,IF(الحضور!$AO35="A",CD33+AX33+1,IF(OR(الحضور!$AO35="W",الحضور!$AO35="PH"),CD33,0)))</f>
        <v>0</v>
      </c>
      <c r="CF33" s="84">
        <f>IF($B33="",0,IF(الحضور!$AP35="A",CE33+AY33+1,IF(OR(الحضور!$AP35="W",الحضور!$AP35="PH"),CE33,0)))</f>
        <v>0</v>
      </c>
    </row>
    <row r="34" spans="1:84" ht="16.5" customHeight="1" x14ac:dyDescent="0.35">
      <c r="A34" s="18">
        <v>29</v>
      </c>
      <c r="B34" s="62" t="str">
        <f>IF(الموظفون!$B34="","",الموظفون!$B34)</f>
        <v>EMP-029</v>
      </c>
      <c r="C34" s="61" t="str">
        <f>IF($B34="","",الموظفون!$C34)</f>
        <v>نادية عبد الحميد</v>
      </c>
      <c r="D34" s="32"/>
      <c r="E34" s="32"/>
      <c r="F34" s="32"/>
      <c r="G34" s="32"/>
      <c r="H34" s="32"/>
      <c r="I34" s="32"/>
      <c r="J34" s="32"/>
      <c r="K34" s="32"/>
      <c r="L34" s="32"/>
      <c r="M34" s="32"/>
      <c r="N34" s="32"/>
      <c r="O34" s="32"/>
      <c r="P34" s="34">
        <f>IF($B34="","",SUM($D34:$O34)+IF(INDEX($D34:$O34,1,الإعدادات!$C$13)="",$Q34,0))</f>
        <v>1</v>
      </c>
      <c r="Q34" s="51">
        <f>IF($B34="","",الحضور!$G36)</f>
        <v>1</v>
      </c>
      <c r="R34" s="34">
        <f t="shared" si="0"/>
        <v>1</v>
      </c>
      <c r="S34" s="32"/>
      <c r="T34" s="61" t="str">
        <f>IF($B34="","",IF(OR($R34&gt;الإعدادات!$C$36,$S34&gt;الإعدادات!$C$36),"تجاوز حد الإنهاء — غياب متصل",IF($P34&gt;الإعدادات!$C$37,"تجاوز حد الإنهاء — غياب متقطع",IF(OR($R34&gt;=الإعدادات!$C$34,$S34&gt;=الإعدادات!$C$34),"إنذار كتابي واجب — غياب متصل",IF($P34&gt;=الإعدادات!$C$35,"إنذار كتابي واجب — غياب متقطع","سليم")))))</f>
        <v>سليم</v>
      </c>
      <c r="V34" s="84">
        <f>IF($B34="",0,IF(OR(الحضور!$L36="W",الحضور!$L36="PH"),0+1,0))</f>
        <v>1</v>
      </c>
      <c r="W34" s="84">
        <f>IF($B34="",0,IF(OR(الحضور!$M36="W",الحضور!$M36="PH"),V34+1,0))</f>
        <v>0</v>
      </c>
      <c r="X34" s="84">
        <f>IF($B34="",0,IF(OR(الحضور!$N36="W",الحضور!$N36="PH"),W34+1,0))</f>
        <v>0</v>
      </c>
      <c r="Y34" s="84">
        <f>IF($B34="",0,IF(OR(الحضور!$O36="W",الحضور!$O36="PH"),X34+1,0))</f>
        <v>0</v>
      </c>
      <c r="Z34" s="84">
        <f>IF($B34="",0,IF(OR(الحضور!$P36="W",الحضور!$P36="PH"),Y34+1,0))</f>
        <v>0</v>
      </c>
      <c r="AA34" s="84">
        <f>IF($B34="",0,IF(OR(الحضور!$Q36="W",الحضور!$Q36="PH"),Z34+1,0))</f>
        <v>0</v>
      </c>
      <c r="AB34" s="84">
        <f>IF($B34="",0,IF(OR(الحضور!$R36="W",الحضور!$R36="PH"),AA34+1,0))</f>
        <v>1</v>
      </c>
      <c r="AC34" s="84">
        <f>IF($B34="",0,IF(OR(الحضور!$S36="W",الحضور!$S36="PH"),AB34+1,0))</f>
        <v>2</v>
      </c>
      <c r="AD34" s="84">
        <f>IF($B34="",0,IF(OR(الحضور!$T36="W",الحضور!$T36="PH"),AC34+1,0))</f>
        <v>0</v>
      </c>
      <c r="AE34" s="84">
        <f>IF($B34="",0,IF(OR(الحضور!$U36="W",الحضور!$U36="PH"),AD34+1,0))</f>
        <v>0</v>
      </c>
      <c r="AF34" s="84">
        <f>IF($B34="",0,IF(OR(الحضور!$V36="W",الحضور!$V36="PH"),AE34+1,0))</f>
        <v>0</v>
      </c>
      <c r="AG34" s="84">
        <f>IF($B34="",0,IF(OR(الحضور!$W36="W",الحضور!$W36="PH"),AF34+1,0))</f>
        <v>0</v>
      </c>
      <c r="AH34" s="84">
        <f>IF($B34="",0,IF(OR(الحضور!$X36="W",الحضور!$X36="PH"),AG34+1,0))</f>
        <v>0</v>
      </c>
      <c r="AI34" s="84">
        <f>IF($B34="",0,IF(OR(الحضور!$Y36="W",الحضور!$Y36="PH"),AH34+1,0))</f>
        <v>1</v>
      </c>
      <c r="AJ34" s="84">
        <f>IF($B34="",0,IF(OR(الحضور!$Z36="W",الحضور!$Z36="PH"),AI34+1,0))</f>
        <v>2</v>
      </c>
      <c r="AK34" s="84">
        <f>IF($B34="",0,IF(OR(الحضور!$AA36="W",الحضور!$AA36="PH"),AJ34+1,0))</f>
        <v>0</v>
      </c>
      <c r="AL34" s="84">
        <f>IF($B34="",0,IF(OR(الحضور!$AB36="W",الحضور!$AB36="PH"),AK34+1,0))</f>
        <v>0</v>
      </c>
      <c r="AM34" s="84">
        <f>IF($B34="",0,IF(OR(الحضور!$AC36="W",الحضور!$AC36="PH"),AL34+1,0))</f>
        <v>0</v>
      </c>
      <c r="AN34" s="84">
        <f>IF($B34="",0,IF(OR(الحضور!$AD36="W",الحضور!$AD36="PH"),AM34+1,0))</f>
        <v>0</v>
      </c>
      <c r="AO34" s="84">
        <f>IF($B34="",0,IF(OR(الحضور!$AE36="W",الحضور!$AE36="PH"),AN34+1,0))</f>
        <v>0</v>
      </c>
      <c r="AP34" s="84">
        <f>IF($B34="",0,IF(OR(الحضور!$AF36="W",الحضور!$AF36="PH"),AO34+1,0))</f>
        <v>1</v>
      </c>
      <c r="AQ34" s="84">
        <f>IF($B34="",0,IF(OR(الحضور!$AG36="W",الحضور!$AG36="PH"),AP34+1,0))</f>
        <v>2</v>
      </c>
      <c r="AR34" s="84">
        <f>IF($B34="",0,IF(OR(الحضور!$AH36="W",الحضور!$AH36="PH"),AQ34+1,0))</f>
        <v>0</v>
      </c>
      <c r="AS34" s="84">
        <f>IF($B34="",0,IF(OR(الحضور!$AI36="W",الحضور!$AI36="PH"),AR34+1,0))</f>
        <v>0</v>
      </c>
      <c r="AT34" s="84">
        <f>IF($B34="",0,IF(OR(الحضور!$AJ36="W",الحضور!$AJ36="PH"),AS34+1,0))</f>
        <v>0</v>
      </c>
      <c r="AU34" s="84">
        <f>IF($B34="",0,IF(OR(الحضور!$AK36="W",الحضور!$AK36="PH"),AT34+1,0))</f>
        <v>0</v>
      </c>
      <c r="AV34" s="84">
        <f>IF($B34="",0,IF(OR(الحضور!$AL36="W",الحضور!$AL36="PH"),AU34+1,0))</f>
        <v>0</v>
      </c>
      <c r="AW34" s="84">
        <f>IF($B34="",0,IF(OR(الحضور!$AM36="W",الحضور!$AM36="PH"),AV34+1,0))</f>
        <v>1</v>
      </c>
      <c r="AX34" s="84">
        <f>IF($B34="",0,IF(OR(الحضور!$AN36="W",الحضور!$AN36="PH"),AW34+1,0))</f>
        <v>2</v>
      </c>
      <c r="AY34" s="84">
        <f>IF($B34="",0,IF(OR(الحضور!$AO36="W",الحضور!$AO36="PH"),AX34+1,0))</f>
        <v>0</v>
      </c>
      <c r="AZ34" s="84">
        <f>IF($B34="",0,IF(OR(الحضور!$AP36="W",الحضور!$AP36="PH"),AY34+1,0))</f>
        <v>0</v>
      </c>
      <c r="BB34" s="84">
        <f>IF($B34="",0,IF(الحضور!$L36="A",0+0+1,IF(OR(الحضور!$L36="W",الحضور!$L36="PH"),0,0)))</f>
        <v>0</v>
      </c>
      <c r="BC34" s="84">
        <f>IF($B34="",0,IF(الحضور!$M36="A",BB34+V34+1,IF(OR(الحضور!$M36="W",الحضور!$M36="PH"),BB34,0)))</f>
        <v>0</v>
      </c>
      <c r="BD34" s="84">
        <f>IF($B34="",0,IF(الحضور!$N36="A",BC34+W34+1,IF(OR(الحضور!$N36="W",الحضور!$N36="PH"),BC34,0)))</f>
        <v>0</v>
      </c>
      <c r="BE34" s="84">
        <f>IF($B34="",0,IF(الحضور!$O36="A",BD34+X34+1,IF(OR(الحضور!$O36="W",الحضور!$O36="PH"),BD34,0)))</f>
        <v>0</v>
      </c>
      <c r="BF34" s="84">
        <f>IF($B34="",0,IF(الحضور!$P36="A",BE34+Y34+1,IF(OR(الحضور!$P36="W",الحضور!$P36="PH"),BE34,0)))</f>
        <v>0</v>
      </c>
      <c r="BG34" s="84">
        <f>IF($B34="",0,IF(الحضور!$Q36="A",BF34+Z34+1,IF(OR(الحضور!$Q36="W",الحضور!$Q36="PH"),BF34,0)))</f>
        <v>1</v>
      </c>
      <c r="BH34" s="84">
        <f>IF($B34="",0,IF(الحضور!$R36="A",BG34+AA34+1,IF(OR(الحضور!$R36="W",الحضور!$R36="PH"),BG34,0)))</f>
        <v>1</v>
      </c>
      <c r="BI34" s="84">
        <f>IF($B34="",0,IF(الحضور!$S36="A",BH34+AB34+1,IF(OR(الحضور!$S36="W",الحضور!$S36="PH"),BH34,0)))</f>
        <v>1</v>
      </c>
      <c r="BJ34" s="84">
        <f>IF($B34="",0,IF(الحضور!$T36="A",BI34+AC34+1,IF(OR(الحضور!$T36="W",الحضور!$T36="PH"),BI34,0)))</f>
        <v>0</v>
      </c>
      <c r="BK34" s="84">
        <f>IF($B34="",0,IF(الحضور!$U36="A",BJ34+AD34+1,IF(OR(الحضور!$U36="W",الحضور!$U36="PH"),BJ34,0)))</f>
        <v>0</v>
      </c>
      <c r="BL34" s="84">
        <f>IF($B34="",0,IF(الحضور!$V36="A",BK34+AE34+1,IF(OR(الحضور!$V36="W",الحضور!$V36="PH"),BK34,0)))</f>
        <v>0</v>
      </c>
      <c r="BM34" s="84">
        <f>IF($B34="",0,IF(الحضور!$W36="A",BL34+AF34+1,IF(OR(الحضور!$W36="W",الحضور!$W36="PH"),BL34,0)))</f>
        <v>0</v>
      </c>
      <c r="BN34" s="84">
        <f>IF($B34="",0,IF(الحضور!$X36="A",BM34+AG34+1,IF(OR(الحضور!$X36="W",الحضور!$X36="PH"),BM34,0)))</f>
        <v>0</v>
      </c>
      <c r="BO34" s="84">
        <f>IF($B34="",0,IF(الحضور!$Y36="A",BN34+AH34+1,IF(OR(الحضور!$Y36="W",الحضور!$Y36="PH"),BN34,0)))</f>
        <v>0</v>
      </c>
      <c r="BP34" s="84">
        <f>IF($B34="",0,IF(الحضور!$Z36="A",BO34+AI34+1,IF(OR(الحضور!$Z36="W",الحضور!$Z36="PH"),BO34,0)))</f>
        <v>0</v>
      </c>
      <c r="BQ34" s="84">
        <f>IF($B34="",0,IF(الحضور!$AA36="A",BP34+AJ34+1,IF(OR(الحضور!$AA36="W",الحضور!$AA36="PH"),BP34,0)))</f>
        <v>0</v>
      </c>
      <c r="BR34" s="84">
        <f>IF($B34="",0,IF(الحضور!$AB36="A",BQ34+AK34+1,IF(OR(الحضور!$AB36="W",الحضور!$AB36="PH"),BQ34,0)))</f>
        <v>0</v>
      </c>
      <c r="BS34" s="84">
        <f>IF($B34="",0,IF(الحضور!$AC36="A",BR34+AL34+1,IF(OR(الحضور!$AC36="W",الحضور!$AC36="PH"),BR34,0)))</f>
        <v>0</v>
      </c>
      <c r="BT34" s="84">
        <f>IF($B34="",0,IF(الحضور!$AD36="A",BS34+AM34+1,IF(OR(الحضور!$AD36="W",الحضور!$AD36="PH"),BS34,0)))</f>
        <v>0</v>
      </c>
      <c r="BU34" s="84">
        <f>IF($B34="",0,IF(الحضور!$AE36="A",BT34+AN34+1,IF(OR(الحضور!$AE36="W",الحضور!$AE36="PH"),BT34,0)))</f>
        <v>0</v>
      </c>
      <c r="BV34" s="84">
        <f>IF($B34="",0,IF(الحضور!$AF36="A",BU34+AO34+1,IF(OR(الحضور!$AF36="W",الحضور!$AF36="PH"),BU34,0)))</f>
        <v>0</v>
      </c>
      <c r="BW34" s="84">
        <f>IF($B34="",0,IF(الحضور!$AG36="A",BV34+AP34+1,IF(OR(الحضور!$AG36="W",الحضور!$AG36="PH"),BV34,0)))</f>
        <v>0</v>
      </c>
      <c r="BX34" s="84">
        <f>IF($B34="",0,IF(الحضور!$AH36="A",BW34+AQ34+1,IF(OR(الحضور!$AH36="W",الحضور!$AH36="PH"),BW34,0)))</f>
        <v>0</v>
      </c>
      <c r="BY34" s="84">
        <f>IF($B34="",0,IF(الحضور!$AI36="A",BX34+AR34+1,IF(OR(الحضور!$AI36="W",الحضور!$AI36="PH"),BX34,0)))</f>
        <v>0</v>
      </c>
      <c r="BZ34" s="84">
        <f>IF($B34="",0,IF(الحضور!$AJ36="A",BY34+AS34+1,IF(OR(الحضور!$AJ36="W",الحضور!$AJ36="PH"),BY34,0)))</f>
        <v>0</v>
      </c>
      <c r="CA34" s="84">
        <f>IF($B34="",0,IF(الحضور!$AK36="A",BZ34+AT34+1,IF(OR(الحضور!$AK36="W",الحضور!$AK36="PH"),BZ34,0)))</f>
        <v>0</v>
      </c>
      <c r="CB34" s="84">
        <f>IF($B34="",0,IF(الحضور!$AL36="A",CA34+AU34+1,IF(OR(الحضور!$AL36="W",الحضور!$AL36="PH"),CA34,0)))</f>
        <v>0</v>
      </c>
      <c r="CC34" s="84">
        <f>IF($B34="",0,IF(الحضور!$AM36="A",CB34+AV34+1,IF(OR(الحضور!$AM36="W",الحضور!$AM36="PH"),CB34,0)))</f>
        <v>0</v>
      </c>
      <c r="CD34" s="84">
        <f>IF($B34="",0,IF(الحضور!$AN36="A",CC34+AW34+1,IF(OR(الحضور!$AN36="W",الحضور!$AN36="PH"),CC34,0)))</f>
        <v>0</v>
      </c>
      <c r="CE34" s="84">
        <f>IF($B34="",0,IF(الحضور!$AO36="A",CD34+AX34+1,IF(OR(الحضور!$AO36="W",الحضور!$AO36="PH"),CD34,0)))</f>
        <v>0</v>
      </c>
      <c r="CF34" s="84">
        <f>IF($B34="",0,IF(الحضور!$AP36="A",CE34+AY34+1,IF(OR(الحضور!$AP36="W",الحضور!$AP36="PH"),CE34,0)))</f>
        <v>0</v>
      </c>
    </row>
    <row r="35" spans="1:84" ht="16.5" customHeight="1" x14ac:dyDescent="0.35">
      <c r="A35" s="18">
        <v>30</v>
      </c>
      <c r="B35" s="62" t="str">
        <f>IF(الموظفون!$B35="","",الموظفون!$B35)</f>
        <v>EMP-030</v>
      </c>
      <c r="C35" s="61" t="str">
        <f>IF($B35="","",الموظفون!$C35)</f>
        <v>مي الفهد</v>
      </c>
      <c r="D35" s="32"/>
      <c r="E35" s="32"/>
      <c r="F35" s="32"/>
      <c r="G35" s="32"/>
      <c r="H35" s="32"/>
      <c r="I35" s="32"/>
      <c r="J35" s="32"/>
      <c r="K35" s="32"/>
      <c r="L35" s="32"/>
      <c r="M35" s="32"/>
      <c r="N35" s="32"/>
      <c r="O35" s="32"/>
      <c r="P35" s="34">
        <f>IF($B35="","",SUM($D35:$O35)+IF(INDEX($D35:$O35,1,الإعدادات!$C$13)="",$Q35,0))</f>
        <v>0</v>
      </c>
      <c r="Q35" s="51">
        <f>IF($B35="","",الحضور!$G37)</f>
        <v>0</v>
      </c>
      <c r="R35" s="34">
        <f t="shared" si="0"/>
        <v>0</v>
      </c>
      <c r="S35" s="32"/>
      <c r="T35" s="61" t="str">
        <f>IF($B35="","",IF(OR($R35&gt;الإعدادات!$C$36,$S35&gt;الإعدادات!$C$36),"تجاوز حد الإنهاء — غياب متصل",IF($P35&gt;الإعدادات!$C$37,"تجاوز حد الإنهاء — غياب متقطع",IF(OR($R35&gt;=الإعدادات!$C$34,$S35&gt;=الإعدادات!$C$34),"إنذار كتابي واجب — غياب متصل",IF($P35&gt;=الإعدادات!$C$35,"إنذار كتابي واجب — غياب متقطع","سليم")))))</f>
        <v>سليم</v>
      </c>
      <c r="V35" s="84">
        <f>IF($B35="",0,IF(OR(الحضور!$L37="W",الحضور!$L37="PH"),0+1,0))</f>
        <v>1</v>
      </c>
      <c r="W35" s="84">
        <f>IF($B35="",0,IF(OR(الحضور!$M37="W",الحضور!$M37="PH"),V35+1,0))</f>
        <v>0</v>
      </c>
      <c r="X35" s="84">
        <f>IF($B35="",0,IF(OR(الحضور!$N37="W",الحضور!$N37="PH"),W35+1,0))</f>
        <v>0</v>
      </c>
      <c r="Y35" s="84">
        <f>IF($B35="",0,IF(OR(الحضور!$O37="W",الحضور!$O37="PH"),X35+1,0))</f>
        <v>0</v>
      </c>
      <c r="Z35" s="84">
        <f>IF($B35="",0,IF(OR(الحضور!$P37="W",الحضور!$P37="PH"),Y35+1,0))</f>
        <v>0</v>
      </c>
      <c r="AA35" s="84">
        <f>IF($B35="",0,IF(OR(الحضور!$Q37="W",الحضور!$Q37="PH"),Z35+1,0))</f>
        <v>0</v>
      </c>
      <c r="AB35" s="84">
        <f>IF($B35="",0,IF(OR(الحضور!$R37="W",الحضور!$R37="PH"),AA35+1,0))</f>
        <v>1</v>
      </c>
      <c r="AC35" s="84">
        <f>IF($B35="",0,IF(OR(الحضور!$S37="W",الحضور!$S37="PH"),AB35+1,0))</f>
        <v>2</v>
      </c>
      <c r="AD35" s="84">
        <f>IF($B35="",0,IF(OR(الحضور!$T37="W",الحضور!$T37="PH"),AC35+1,0))</f>
        <v>0</v>
      </c>
      <c r="AE35" s="84">
        <f>IF($B35="",0,IF(OR(الحضور!$U37="W",الحضور!$U37="PH"),AD35+1,0))</f>
        <v>0</v>
      </c>
      <c r="AF35" s="84">
        <f>IF($B35="",0,IF(OR(الحضور!$V37="W",الحضور!$V37="PH"),AE35+1,0))</f>
        <v>0</v>
      </c>
      <c r="AG35" s="84">
        <f>IF($B35="",0,IF(OR(الحضور!$W37="W",الحضور!$W37="PH"),AF35+1,0))</f>
        <v>0</v>
      </c>
      <c r="AH35" s="84">
        <f>IF($B35="",0,IF(OR(الحضور!$X37="W",الحضور!$X37="PH"),AG35+1,0))</f>
        <v>0</v>
      </c>
      <c r="AI35" s="84">
        <f>IF($B35="",0,IF(OR(الحضور!$Y37="W",الحضور!$Y37="PH"),AH35+1,0))</f>
        <v>1</v>
      </c>
      <c r="AJ35" s="84">
        <f>IF($B35="",0,IF(OR(الحضور!$Z37="W",الحضور!$Z37="PH"),AI35+1,0))</f>
        <v>2</v>
      </c>
      <c r="AK35" s="84">
        <f>IF($B35="",0,IF(OR(الحضور!$AA37="W",الحضور!$AA37="PH"),AJ35+1,0))</f>
        <v>0</v>
      </c>
      <c r="AL35" s="84">
        <f>IF($B35="",0,IF(OR(الحضور!$AB37="W",الحضور!$AB37="PH"),AK35+1,0))</f>
        <v>0</v>
      </c>
      <c r="AM35" s="84">
        <f>IF($B35="",0,IF(OR(الحضور!$AC37="W",الحضور!$AC37="PH"),AL35+1,0))</f>
        <v>0</v>
      </c>
      <c r="AN35" s="84">
        <f>IF($B35="",0,IF(OR(الحضور!$AD37="W",الحضور!$AD37="PH"),AM35+1,0))</f>
        <v>0</v>
      </c>
      <c r="AO35" s="84">
        <f>IF($B35="",0,IF(OR(الحضور!$AE37="W",الحضور!$AE37="PH"),AN35+1,0))</f>
        <v>0</v>
      </c>
      <c r="AP35" s="84">
        <f>IF($B35="",0,IF(OR(الحضور!$AF37="W",الحضور!$AF37="PH"),AO35+1,0))</f>
        <v>1</v>
      </c>
      <c r="AQ35" s="84">
        <f>IF($B35="",0,IF(OR(الحضور!$AG37="W",الحضور!$AG37="PH"),AP35+1,0))</f>
        <v>2</v>
      </c>
      <c r="AR35" s="84">
        <f>IF($B35="",0,IF(OR(الحضور!$AH37="W",الحضور!$AH37="PH"),AQ35+1,0))</f>
        <v>0</v>
      </c>
      <c r="AS35" s="84">
        <f>IF($B35="",0,IF(OR(الحضور!$AI37="W",الحضور!$AI37="PH"),AR35+1,0))</f>
        <v>0</v>
      </c>
      <c r="AT35" s="84">
        <f>IF($B35="",0,IF(OR(الحضور!$AJ37="W",الحضور!$AJ37="PH"),AS35+1,0))</f>
        <v>0</v>
      </c>
      <c r="AU35" s="84">
        <f>IF($B35="",0,IF(OR(الحضور!$AK37="W",الحضور!$AK37="PH"),AT35+1,0))</f>
        <v>0</v>
      </c>
      <c r="AV35" s="84">
        <f>IF($B35="",0,IF(OR(الحضور!$AL37="W",الحضور!$AL37="PH"),AU35+1,0))</f>
        <v>0</v>
      </c>
      <c r="AW35" s="84">
        <f>IF($B35="",0,IF(OR(الحضور!$AM37="W",الحضور!$AM37="PH"),AV35+1,0))</f>
        <v>1</v>
      </c>
      <c r="AX35" s="84">
        <f>IF($B35="",0,IF(OR(الحضور!$AN37="W",الحضور!$AN37="PH"),AW35+1,0))</f>
        <v>2</v>
      </c>
      <c r="AY35" s="84">
        <f>IF($B35="",0,IF(OR(الحضور!$AO37="W",الحضور!$AO37="PH"),AX35+1,0))</f>
        <v>0</v>
      </c>
      <c r="AZ35" s="84">
        <f>IF($B35="",0,IF(OR(الحضور!$AP37="W",الحضور!$AP37="PH"),AY35+1,0))</f>
        <v>0</v>
      </c>
      <c r="BB35" s="84">
        <f>IF($B35="",0,IF(الحضور!$L37="A",0+0+1,IF(OR(الحضور!$L37="W",الحضور!$L37="PH"),0,0)))</f>
        <v>0</v>
      </c>
      <c r="BC35" s="84">
        <f>IF($B35="",0,IF(الحضور!$M37="A",BB35+V35+1,IF(OR(الحضور!$M37="W",الحضور!$M37="PH"),BB35,0)))</f>
        <v>0</v>
      </c>
      <c r="BD35" s="84">
        <f>IF($B35="",0,IF(الحضور!$N37="A",BC35+W35+1,IF(OR(الحضور!$N37="W",الحضور!$N37="PH"),BC35,0)))</f>
        <v>0</v>
      </c>
      <c r="BE35" s="84">
        <f>IF($B35="",0,IF(الحضور!$O37="A",BD35+X35+1,IF(OR(الحضور!$O37="W",الحضور!$O37="PH"),BD35,0)))</f>
        <v>0</v>
      </c>
      <c r="BF35" s="84">
        <f>IF($B35="",0,IF(الحضور!$P37="A",BE35+Y35+1,IF(OR(الحضور!$P37="W",الحضور!$P37="PH"),BE35,0)))</f>
        <v>0</v>
      </c>
      <c r="BG35" s="84">
        <f>IF($B35="",0,IF(الحضور!$Q37="A",BF35+Z35+1,IF(OR(الحضور!$Q37="W",الحضور!$Q37="PH"),BF35,0)))</f>
        <v>0</v>
      </c>
      <c r="BH35" s="84">
        <f>IF($B35="",0,IF(الحضور!$R37="A",BG35+AA35+1,IF(OR(الحضور!$R37="W",الحضور!$R37="PH"),BG35,0)))</f>
        <v>0</v>
      </c>
      <c r="BI35" s="84">
        <f>IF($B35="",0,IF(الحضور!$S37="A",BH35+AB35+1,IF(OR(الحضور!$S37="W",الحضور!$S37="PH"),BH35,0)))</f>
        <v>0</v>
      </c>
      <c r="BJ35" s="84">
        <f>IF($B35="",0,IF(الحضور!$T37="A",BI35+AC35+1,IF(OR(الحضور!$T37="W",الحضور!$T37="PH"),BI35,0)))</f>
        <v>0</v>
      </c>
      <c r="BK35" s="84">
        <f>IF($B35="",0,IF(الحضور!$U37="A",BJ35+AD35+1,IF(OR(الحضور!$U37="W",الحضور!$U37="PH"),BJ35,0)))</f>
        <v>0</v>
      </c>
      <c r="BL35" s="84">
        <f>IF($B35="",0,IF(الحضور!$V37="A",BK35+AE35+1,IF(OR(الحضور!$V37="W",الحضور!$V37="PH"),BK35,0)))</f>
        <v>0</v>
      </c>
      <c r="BM35" s="84">
        <f>IF($B35="",0,IF(الحضور!$W37="A",BL35+AF35+1,IF(OR(الحضور!$W37="W",الحضور!$W37="PH"),BL35,0)))</f>
        <v>0</v>
      </c>
      <c r="BN35" s="84">
        <f>IF($B35="",0,IF(الحضور!$X37="A",BM35+AG35+1,IF(OR(الحضور!$X37="W",الحضور!$X37="PH"),BM35,0)))</f>
        <v>0</v>
      </c>
      <c r="BO35" s="84">
        <f>IF($B35="",0,IF(الحضور!$Y37="A",BN35+AH35+1,IF(OR(الحضور!$Y37="W",الحضور!$Y37="PH"),BN35,0)))</f>
        <v>0</v>
      </c>
      <c r="BP35" s="84">
        <f>IF($B35="",0,IF(الحضور!$Z37="A",BO35+AI35+1,IF(OR(الحضور!$Z37="W",الحضور!$Z37="PH"),BO35,0)))</f>
        <v>0</v>
      </c>
      <c r="BQ35" s="84">
        <f>IF($B35="",0,IF(الحضور!$AA37="A",BP35+AJ35+1,IF(OR(الحضور!$AA37="W",الحضور!$AA37="PH"),BP35,0)))</f>
        <v>0</v>
      </c>
      <c r="BR35" s="84">
        <f>IF($B35="",0,IF(الحضور!$AB37="A",BQ35+AK35+1,IF(OR(الحضور!$AB37="W",الحضور!$AB37="PH"),BQ35,0)))</f>
        <v>0</v>
      </c>
      <c r="BS35" s="84">
        <f>IF($B35="",0,IF(الحضور!$AC37="A",BR35+AL35+1,IF(OR(الحضور!$AC37="W",الحضور!$AC37="PH"),BR35,0)))</f>
        <v>0</v>
      </c>
      <c r="BT35" s="84">
        <f>IF($B35="",0,IF(الحضور!$AD37="A",BS35+AM35+1,IF(OR(الحضور!$AD37="W",الحضور!$AD37="PH"),BS35,0)))</f>
        <v>0</v>
      </c>
      <c r="BU35" s="84">
        <f>IF($B35="",0,IF(الحضور!$AE37="A",BT35+AN35+1,IF(OR(الحضور!$AE37="W",الحضور!$AE37="PH"),BT35,0)))</f>
        <v>0</v>
      </c>
      <c r="BV35" s="84">
        <f>IF($B35="",0,IF(الحضور!$AF37="A",BU35+AO35+1,IF(OR(الحضور!$AF37="W",الحضور!$AF37="PH"),BU35,0)))</f>
        <v>0</v>
      </c>
      <c r="BW35" s="84">
        <f>IF($B35="",0,IF(الحضور!$AG37="A",BV35+AP35+1,IF(OR(الحضور!$AG37="W",الحضور!$AG37="PH"),BV35,0)))</f>
        <v>0</v>
      </c>
      <c r="BX35" s="84">
        <f>IF($B35="",0,IF(الحضور!$AH37="A",BW35+AQ35+1,IF(OR(الحضور!$AH37="W",الحضور!$AH37="PH"),BW35,0)))</f>
        <v>0</v>
      </c>
      <c r="BY35" s="84">
        <f>IF($B35="",0,IF(الحضور!$AI37="A",BX35+AR35+1,IF(OR(الحضور!$AI37="W",الحضور!$AI37="PH"),BX35,0)))</f>
        <v>0</v>
      </c>
      <c r="BZ35" s="84">
        <f>IF($B35="",0,IF(الحضور!$AJ37="A",BY35+AS35+1,IF(OR(الحضور!$AJ37="W",الحضور!$AJ37="PH"),BY35,0)))</f>
        <v>0</v>
      </c>
      <c r="CA35" s="84">
        <f>IF($B35="",0,IF(الحضور!$AK37="A",BZ35+AT35+1,IF(OR(الحضور!$AK37="W",الحضور!$AK37="PH"),BZ35,0)))</f>
        <v>0</v>
      </c>
      <c r="CB35" s="84">
        <f>IF($B35="",0,IF(الحضور!$AL37="A",CA35+AU35+1,IF(OR(الحضور!$AL37="W",الحضور!$AL37="PH"),CA35,0)))</f>
        <v>0</v>
      </c>
      <c r="CC35" s="84">
        <f>IF($B35="",0,IF(الحضور!$AM37="A",CB35+AV35+1,IF(OR(الحضور!$AM37="W",الحضور!$AM37="PH"),CB35,0)))</f>
        <v>0</v>
      </c>
      <c r="CD35" s="84">
        <f>IF($B35="",0,IF(الحضور!$AN37="A",CC35+AW35+1,IF(OR(الحضور!$AN37="W",الحضور!$AN37="PH"),CC35,0)))</f>
        <v>0</v>
      </c>
      <c r="CE35" s="84">
        <f>IF($B35="",0,IF(الحضور!$AO37="A",CD35+AX35+1,IF(OR(الحضور!$AO37="W",الحضور!$AO37="PH"),CD35,0)))</f>
        <v>0</v>
      </c>
      <c r="CF35" s="84">
        <f>IF($B35="",0,IF(الحضور!$AP37="A",CE35+AY35+1,IF(OR(الحضور!$AP37="W",الحضور!$AP37="PH"),CE35,0)))</f>
        <v>0</v>
      </c>
    </row>
    <row r="36" spans="1:84" ht="16.5" customHeight="1" x14ac:dyDescent="0.35">
      <c r="A36" s="18"/>
      <c r="B36" s="62" t="str">
        <f>IF(الموظفون!$B36="","",الموظفون!$B36)</f>
        <v/>
      </c>
      <c r="C36" s="61" t="str">
        <f>IF($B36="","",الموظفون!$C36)</f>
        <v/>
      </c>
      <c r="D36" s="32"/>
      <c r="E36" s="32"/>
      <c r="F36" s="32"/>
      <c r="G36" s="32"/>
      <c r="H36" s="32"/>
      <c r="I36" s="32"/>
      <c r="J36" s="32"/>
      <c r="K36" s="32"/>
      <c r="L36" s="32"/>
      <c r="M36" s="32"/>
      <c r="N36" s="32"/>
      <c r="O36" s="32"/>
      <c r="P36" s="34" t="str">
        <f>IF($B36="","",SUM($D36:$O36)+IF(INDEX($D36:$O36,1,الإعدادات!$C$13)="",$Q36,0))</f>
        <v/>
      </c>
      <c r="Q36" s="51" t="str">
        <f>IF($B36="","",الحضور!$G38)</f>
        <v/>
      </c>
      <c r="R36" s="34" t="str">
        <f t="shared" si="0"/>
        <v/>
      </c>
      <c r="S36" s="32"/>
      <c r="T36" s="61" t="str">
        <f>IF($B36="","",IF(OR($R36&gt;الإعدادات!$C$36,$S36&gt;الإعدادات!$C$36),"تجاوز حد الإنهاء — غياب متصل",IF($P36&gt;الإعدادات!$C$37,"تجاوز حد الإنهاء — غياب متقطع",IF(OR($R36&gt;=الإعدادات!$C$34,$S36&gt;=الإعدادات!$C$34),"إنذار كتابي واجب — غياب متصل",IF($P36&gt;=الإعدادات!$C$35,"إنذار كتابي واجب — غياب متقطع","سليم")))))</f>
        <v/>
      </c>
      <c r="V36" s="84">
        <f>IF($B36="",0,IF(OR(الحضور!$L38="W",الحضور!$L38="PH"),0+1,0))</f>
        <v>0</v>
      </c>
      <c r="W36" s="84">
        <f>IF($B36="",0,IF(OR(الحضور!$M38="W",الحضور!$M38="PH"),V36+1,0))</f>
        <v>0</v>
      </c>
      <c r="X36" s="84">
        <f>IF($B36="",0,IF(OR(الحضور!$N38="W",الحضور!$N38="PH"),W36+1,0))</f>
        <v>0</v>
      </c>
      <c r="Y36" s="84">
        <f>IF($B36="",0,IF(OR(الحضور!$O38="W",الحضور!$O38="PH"),X36+1,0))</f>
        <v>0</v>
      </c>
      <c r="Z36" s="84">
        <f>IF($B36="",0,IF(OR(الحضور!$P38="W",الحضور!$P38="PH"),Y36+1,0))</f>
        <v>0</v>
      </c>
      <c r="AA36" s="84">
        <f>IF($B36="",0,IF(OR(الحضور!$Q38="W",الحضور!$Q38="PH"),Z36+1,0))</f>
        <v>0</v>
      </c>
      <c r="AB36" s="84">
        <f>IF($B36="",0,IF(OR(الحضور!$R38="W",الحضور!$R38="PH"),AA36+1,0))</f>
        <v>0</v>
      </c>
      <c r="AC36" s="84">
        <f>IF($B36="",0,IF(OR(الحضور!$S38="W",الحضور!$S38="PH"),AB36+1,0))</f>
        <v>0</v>
      </c>
      <c r="AD36" s="84">
        <f>IF($B36="",0,IF(OR(الحضور!$T38="W",الحضور!$T38="PH"),AC36+1,0))</f>
        <v>0</v>
      </c>
      <c r="AE36" s="84">
        <f>IF($B36="",0,IF(OR(الحضور!$U38="W",الحضور!$U38="PH"),AD36+1,0))</f>
        <v>0</v>
      </c>
      <c r="AF36" s="84">
        <f>IF($B36="",0,IF(OR(الحضور!$V38="W",الحضور!$V38="PH"),AE36+1,0))</f>
        <v>0</v>
      </c>
      <c r="AG36" s="84">
        <f>IF($B36="",0,IF(OR(الحضور!$W38="W",الحضور!$W38="PH"),AF36+1,0))</f>
        <v>0</v>
      </c>
      <c r="AH36" s="84">
        <f>IF($B36="",0,IF(OR(الحضور!$X38="W",الحضور!$X38="PH"),AG36+1,0))</f>
        <v>0</v>
      </c>
      <c r="AI36" s="84">
        <f>IF($B36="",0,IF(OR(الحضور!$Y38="W",الحضور!$Y38="PH"),AH36+1,0))</f>
        <v>0</v>
      </c>
      <c r="AJ36" s="84">
        <f>IF($B36="",0,IF(OR(الحضور!$Z38="W",الحضور!$Z38="PH"),AI36+1,0))</f>
        <v>0</v>
      </c>
      <c r="AK36" s="84">
        <f>IF($B36="",0,IF(OR(الحضور!$AA38="W",الحضور!$AA38="PH"),AJ36+1,0))</f>
        <v>0</v>
      </c>
      <c r="AL36" s="84">
        <f>IF($B36="",0,IF(OR(الحضور!$AB38="W",الحضور!$AB38="PH"),AK36+1,0))</f>
        <v>0</v>
      </c>
      <c r="AM36" s="84">
        <f>IF($B36="",0,IF(OR(الحضور!$AC38="W",الحضور!$AC38="PH"),AL36+1,0))</f>
        <v>0</v>
      </c>
      <c r="AN36" s="84">
        <f>IF($B36="",0,IF(OR(الحضور!$AD38="W",الحضور!$AD38="PH"),AM36+1,0))</f>
        <v>0</v>
      </c>
      <c r="AO36" s="84">
        <f>IF($B36="",0,IF(OR(الحضور!$AE38="W",الحضور!$AE38="PH"),AN36+1,0))</f>
        <v>0</v>
      </c>
      <c r="AP36" s="84">
        <f>IF($B36="",0,IF(OR(الحضور!$AF38="W",الحضور!$AF38="PH"),AO36+1,0))</f>
        <v>0</v>
      </c>
      <c r="AQ36" s="84">
        <f>IF($B36="",0,IF(OR(الحضور!$AG38="W",الحضور!$AG38="PH"),AP36+1,0))</f>
        <v>0</v>
      </c>
      <c r="AR36" s="84">
        <f>IF($B36="",0,IF(OR(الحضور!$AH38="W",الحضور!$AH38="PH"),AQ36+1,0))</f>
        <v>0</v>
      </c>
      <c r="AS36" s="84">
        <f>IF($B36="",0,IF(OR(الحضور!$AI38="W",الحضور!$AI38="PH"),AR36+1,0))</f>
        <v>0</v>
      </c>
      <c r="AT36" s="84">
        <f>IF($B36="",0,IF(OR(الحضور!$AJ38="W",الحضور!$AJ38="PH"),AS36+1,0))</f>
        <v>0</v>
      </c>
      <c r="AU36" s="84">
        <f>IF($B36="",0,IF(OR(الحضور!$AK38="W",الحضور!$AK38="PH"),AT36+1,0))</f>
        <v>0</v>
      </c>
      <c r="AV36" s="84">
        <f>IF($B36="",0,IF(OR(الحضور!$AL38="W",الحضور!$AL38="PH"),AU36+1,0))</f>
        <v>0</v>
      </c>
      <c r="AW36" s="84">
        <f>IF($B36="",0,IF(OR(الحضور!$AM38="W",الحضور!$AM38="PH"),AV36+1,0))</f>
        <v>0</v>
      </c>
      <c r="AX36" s="84">
        <f>IF($B36="",0,IF(OR(الحضور!$AN38="W",الحضور!$AN38="PH"),AW36+1,0))</f>
        <v>0</v>
      </c>
      <c r="AY36" s="84">
        <f>IF($B36="",0,IF(OR(الحضور!$AO38="W",الحضور!$AO38="PH"),AX36+1,0))</f>
        <v>0</v>
      </c>
      <c r="AZ36" s="84">
        <f>IF($B36="",0,IF(OR(الحضور!$AP38="W",الحضور!$AP38="PH"),AY36+1,0))</f>
        <v>0</v>
      </c>
      <c r="BB36" s="84">
        <f>IF($B36="",0,IF(الحضور!$L38="A",0+0+1,IF(OR(الحضور!$L38="W",الحضور!$L38="PH"),0,0)))</f>
        <v>0</v>
      </c>
      <c r="BC36" s="84">
        <f>IF($B36="",0,IF(الحضور!$M38="A",BB36+V36+1,IF(OR(الحضور!$M38="W",الحضور!$M38="PH"),BB36,0)))</f>
        <v>0</v>
      </c>
      <c r="BD36" s="84">
        <f>IF($B36="",0,IF(الحضور!$N38="A",BC36+W36+1,IF(OR(الحضور!$N38="W",الحضور!$N38="PH"),BC36,0)))</f>
        <v>0</v>
      </c>
      <c r="BE36" s="84">
        <f>IF($B36="",0,IF(الحضور!$O38="A",BD36+X36+1,IF(OR(الحضور!$O38="W",الحضور!$O38="PH"),BD36,0)))</f>
        <v>0</v>
      </c>
      <c r="BF36" s="84">
        <f>IF($B36="",0,IF(الحضور!$P38="A",BE36+Y36+1,IF(OR(الحضور!$P38="W",الحضور!$P38="PH"),BE36,0)))</f>
        <v>0</v>
      </c>
      <c r="BG36" s="84">
        <f>IF($B36="",0,IF(الحضور!$Q38="A",BF36+Z36+1,IF(OR(الحضور!$Q38="W",الحضور!$Q38="PH"),BF36,0)))</f>
        <v>0</v>
      </c>
      <c r="BH36" s="84">
        <f>IF($B36="",0,IF(الحضور!$R38="A",BG36+AA36+1,IF(OR(الحضور!$R38="W",الحضور!$R38="PH"),BG36,0)))</f>
        <v>0</v>
      </c>
      <c r="BI36" s="84">
        <f>IF($B36="",0,IF(الحضور!$S38="A",BH36+AB36+1,IF(OR(الحضور!$S38="W",الحضور!$S38="PH"),BH36,0)))</f>
        <v>0</v>
      </c>
      <c r="BJ36" s="84">
        <f>IF($B36="",0,IF(الحضور!$T38="A",BI36+AC36+1,IF(OR(الحضور!$T38="W",الحضور!$T38="PH"),BI36,0)))</f>
        <v>0</v>
      </c>
      <c r="BK36" s="84">
        <f>IF($B36="",0,IF(الحضور!$U38="A",BJ36+AD36+1,IF(OR(الحضور!$U38="W",الحضور!$U38="PH"),BJ36,0)))</f>
        <v>0</v>
      </c>
      <c r="BL36" s="84">
        <f>IF($B36="",0,IF(الحضور!$V38="A",BK36+AE36+1,IF(OR(الحضور!$V38="W",الحضور!$V38="PH"),BK36,0)))</f>
        <v>0</v>
      </c>
      <c r="BM36" s="84">
        <f>IF($B36="",0,IF(الحضور!$W38="A",BL36+AF36+1,IF(OR(الحضور!$W38="W",الحضور!$W38="PH"),BL36,0)))</f>
        <v>0</v>
      </c>
      <c r="BN36" s="84">
        <f>IF($B36="",0,IF(الحضور!$X38="A",BM36+AG36+1,IF(OR(الحضور!$X38="W",الحضور!$X38="PH"),BM36,0)))</f>
        <v>0</v>
      </c>
      <c r="BO36" s="84">
        <f>IF($B36="",0,IF(الحضور!$Y38="A",BN36+AH36+1,IF(OR(الحضور!$Y38="W",الحضور!$Y38="PH"),BN36,0)))</f>
        <v>0</v>
      </c>
      <c r="BP36" s="84">
        <f>IF($B36="",0,IF(الحضور!$Z38="A",BO36+AI36+1,IF(OR(الحضور!$Z38="W",الحضور!$Z38="PH"),BO36,0)))</f>
        <v>0</v>
      </c>
      <c r="BQ36" s="84">
        <f>IF($B36="",0,IF(الحضور!$AA38="A",BP36+AJ36+1,IF(OR(الحضور!$AA38="W",الحضور!$AA38="PH"),BP36,0)))</f>
        <v>0</v>
      </c>
      <c r="BR36" s="84">
        <f>IF($B36="",0,IF(الحضور!$AB38="A",BQ36+AK36+1,IF(OR(الحضور!$AB38="W",الحضور!$AB38="PH"),BQ36,0)))</f>
        <v>0</v>
      </c>
      <c r="BS36" s="84">
        <f>IF($B36="",0,IF(الحضور!$AC38="A",BR36+AL36+1,IF(OR(الحضور!$AC38="W",الحضور!$AC38="PH"),BR36,0)))</f>
        <v>0</v>
      </c>
      <c r="BT36" s="84">
        <f>IF($B36="",0,IF(الحضور!$AD38="A",BS36+AM36+1,IF(OR(الحضور!$AD38="W",الحضور!$AD38="PH"),BS36,0)))</f>
        <v>0</v>
      </c>
      <c r="BU36" s="84">
        <f>IF($B36="",0,IF(الحضور!$AE38="A",BT36+AN36+1,IF(OR(الحضور!$AE38="W",الحضور!$AE38="PH"),BT36,0)))</f>
        <v>0</v>
      </c>
      <c r="BV36" s="84">
        <f>IF($B36="",0,IF(الحضور!$AF38="A",BU36+AO36+1,IF(OR(الحضور!$AF38="W",الحضور!$AF38="PH"),BU36,0)))</f>
        <v>0</v>
      </c>
      <c r="BW36" s="84">
        <f>IF($B36="",0,IF(الحضور!$AG38="A",BV36+AP36+1,IF(OR(الحضور!$AG38="W",الحضور!$AG38="PH"),BV36,0)))</f>
        <v>0</v>
      </c>
      <c r="BX36" s="84">
        <f>IF($B36="",0,IF(الحضور!$AH38="A",BW36+AQ36+1,IF(OR(الحضور!$AH38="W",الحضور!$AH38="PH"),BW36,0)))</f>
        <v>0</v>
      </c>
      <c r="BY36" s="84">
        <f>IF($B36="",0,IF(الحضور!$AI38="A",BX36+AR36+1,IF(OR(الحضور!$AI38="W",الحضور!$AI38="PH"),BX36,0)))</f>
        <v>0</v>
      </c>
      <c r="BZ36" s="84">
        <f>IF($B36="",0,IF(الحضور!$AJ38="A",BY36+AS36+1,IF(OR(الحضور!$AJ38="W",الحضور!$AJ38="PH"),BY36,0)))</f>
        <v>0</v>
      </c>
      <c r="CA36" s="84">
        <f>IF($B36="",0,IF(الحضور!$AK38="A",BZ36+AT36+1,IF(OR(الحضور!$AK38="W",الحضور!$AK38="PH"),BZ36,0)))</f>
        <v>0</v>
      </c>
      <c r="CB36" s="84">
        <f>IF($B36="",0,IF(الحضور!$AL38="A",CA36+AU36+1,IF(OR(الحضور!$AL38="W",الحضور!$AL38="PH"),CA36,0)))</f>
        <v>0</v>
      </c>
      <c r="CC36" s="84">
        <f>IF($B36="",0,IF(الحضور!$AM38="A",CB36+AV36+1,IF(OR(الحضور!$AM38="W",الحضور!$AM38="PH"),CB36,0)))</f>
        <v>0</v>
      </c>
      <c r="CD36" s="84">
        <f>IF($B36="",0,IF(الحضور!$AN38="A",CC36+AW36+1,IF(OR(الحضور!$AN38="W",الحضور!$AN38="PH"),CC36,0)))</f>
        <v>0</v>
      </c>
      <c r="CE36" s="84">
        <f>IF($B36="",0,IF(الحضور!$AO38="A",CD36+AX36+1,IF(OR(الحضور!$AO38="W",الحضور!$AO38="PH"),CD36,0)))</f>
        <v>0</v>
      </c>
      <c r="CF36" s="84">
        <f>IF($B36="",0,IF(الحضور!$AP38="A",CE36+AY36+1,IF(OR(الحضور!$AP38="W",الحضور!$AP38="PH"),CE36,0)))</f>
        <v>0</v>
      </c>
    </row>
    <row r="37" spans="1:84" ht="16.5" customHeight="1" x14ac:dyDescent="0.35">
      <c r="A37" s="18"/>
      <c r="B37" s="62" t="str">
        <f>IF(الموظفون!$B37="","",الموظفون!$B37)</f>
        <v/>
      </c>
      <c r="C37" s="61" t="str">
        <f>IF($B37="","",الموظفون!$C37)</f>
        <v/>
      </c>
      <c r="D37" s="32"/>
      <c r="E37" s="32"/>
      <c r="F37" s="32"/>
      <c r="G37" s="32"/>
      <c r="H37" s="32"/>
      <c r="I37" s="32"/>
      <c r="J37" s="32"/>
      <c r="K37" s="32"/>
      <c r="L37" s="32"/>
      <c r="M37" s="32"/>
      <c r="N37" s="32"/>
      <c r="O37" s="32"/>
      <c r="P37" s="34" t="str">
        <f>IF($B37="","",SUM($D37:$O37)+IF(INDEX($D37:$O37,1,الإعدادات!$C$13)="",$Q37,0))</f>
        <v/>
      </c>
      <c r="Q37" s="51" t="str">
        <f>IF($B37="","",الحضور!$G39)</f>
        <v/>
      </c>
      <c r="R37" s="34" t="str">
        <f t="shared" si="0"/>
        <v/>
      </c>
      <c r="S37" s="32"/>
      <c r="T37" s="61" t="str">
        <f>IF($B37="","",IF(OR($R37&gt;الإعدادات!$C$36,$S37&gt;الإعدادات!$C$36),"تجاوز حد الإنهاء — غياب متصل",IF($P37&gt;الإعدادات!$C$37,"تجاوز حد الإنهاء — غياب متقطع",IF(OR($R37&gt;=الإعدادات!$C$34,$S37&gt;=الإعدادات!$C$34),"إنذار كتابي واجب — غياب متصل",IF($P37&gt;=الإعدادات!$C$35,"إنذار كتابي واجب — غياب متقطع","سليم")))))</f>
        <v/>
      </c>
      <c r="V37" s="84">
        <f>IF($B37="",0,IF(OR(الحضور!$L39="W",الحضور!$L39="PH"),0+1,0))</f>
        <v>0</v>
      </c>
      <c r="W37" s="84">
        <f>IF($B37="",0,IF(OR(الحضور!$M39="W",الحضور!$M39="PH"),V37+1,0))</f>
        <v>0</v>
      </c>
      <c r="X37" s="84">
        <f>IF($B37="",0,IF(OR(الحضور!$N39="W",الحضور!$N39="PH"),W37+1,0))</f>
        <v>0</v>
      </c>
      <c r="Y37" s="84">
        <f>IF($B37="",0,IF(OR(الحضور!$O39="W",الحضور!$O39="PH"),X37+1,0))</f>
        <v>0</v>
      </c>
      <c r="Z37" s="84">
        <f>IF($B37="",0,IF(OR(الحضور!$P39="W",الحضور!$P39="PH"),Y37+1,0))</f>
        <v>0</v>
      </c>
      <c r="AA37" s="84">
        <f>IF($B37="",0,IF(OR(الحضور!$Q39="W",الحضور!$Q39="PH"),Z37+1,0))</f>
        <v>0</v>
      </c>
      <c r="AB37" s="84">
        <f>IF($B37="",0,IF(OR(الحضور!$R39="W",الحضور!$R39="PH"),AA37+1,0))</f>
        <v>0</v>
      </c>
      <c r="AC37" s="84">
        <f>IF($B37="",0,IF(OR(الحضور!$S39="W",الحضور!$S39="PH"),AB37+1,0))</f>
        <v>0</v>
      </c>
      <c r="AD37" s="84">
        <f>IF($B37="",0,IF(OR(الحضور!$T39="W",الحضور!$T39="PH"),AC37+1,0))</f>
        <v>0</v>
      </c>
      <c r="AE37" s="84">
        <f>IF($B37="",0,IF(OR(الحضور!$U39="W",الحضور!$U39="PH"),AD37+1,0))</f>
        <v>0</v>
      </c>
      <c r="AF37" s="84">
        <f>IF($B37="",0,IF(OR(الحضور!$V39="W",الحضور!$V39="PH"),AE37+1,0))</f>
        <v>0</v>
      </c>
      <c r="AG37" s="84">
        <f>IF($B37="",0,IF(OR(الحضور!$W39="W",الحضور!$W39="PH"),AF37+1,0))</f>
        <v>0</v>
      </c>
      <c r="AH37" s="84">
        <f>IF($B37="",0,IF(OR(الحضور!$X39="W",الحضور!$X39="PH"),AG37+1,0))</f>
        <v>0</v>
      </c>
      <c r="AI37" s="84">
        <f>IF($B37="",0,IF(OR(الحضور!$Y39="W",الحضور!$Y39="PH"),AH37+1,0))</f>
        <v>0</v>
      </c>
      <c r="AJ37" s="84">
        <f>IF($B37="",0,IF(OR(الحضور!$Z39="W",الحضور!$Z39="PH"),AI37+1,0))</f>
        <v>0</v>
      </c>
      <c r="AK37" s="84">
        <f>IF($B37="",0,IF(OR(الحضور!$AA39="W",الحضور!$AA39="PH"),AJ37+1,0))</f>
        <v>0</v>
      </c>
      <c r="AL37" s="84">
        <f>IF($B37="",0,IF(OR(الحضور!$AB39="W",الحضور!$AB39="PH"),AK37+1,0))</f>
        <v>0</v>
      </c>
      <c r="AM37" s="84">
        <f>IF($B37="",0,IF(OR(الحضور!$AC39="W",الحضور!$AC39="PH"),AL37+1,0))</f>
        <v>0</v>
      </c>
      <c r="AN37" s="84">
        <f>IF($B37="",0,IF(OR(الحضور!$AD39="W",الحضور!$AD39="PH"),AM37+1,0))</f>
        <v>0</v>
      </c>
      <c r="AO37" s="84">
        <f>IF($B37="",0,IF(OR(الحضور!$AE39="W",الحضور!$AE39="PH"),AN37+1,0))</f>
        <v>0</v>
      </c>
      <c r="AP37" s="84">
        <f>IF($B37="",0,IF(OR(الحضور!$AF39="W",الحضور!$AF39="PH"),AO37+1,0))</f>
        <v>0</v>
      </c>
      <c r="AQ37" s="84">
        <f>IF($B37="",0,IF(OR(الحضور!$AG39="W",الحضور!$AG39="PH"),AP37+1,0))</f>
        <v>0</v>
      </c>
      <c r="AR37" s="84">
        <f>IF($B37="",0,IF(OR(الحضور!$AH39="W",الحضور!$AH39="PH"),AQ37+1,0))</f>
        <v>0</v>
      </c>
      <c r="AS37" s="84">
        <f>IF($B37="",0,IF(OR(الحضور!$AI39="W",الحضور!$AI39="PH"),AR37+1,0))</f>
        <v>0</v>
      </c>
      <c r="AT37" s="84">
        <f>IF($B37="",0,IF(OR(الحضور!$AJ39="W",الحضور!$AJ39="PH"),AS37+1,0))</f>
        <v>0</v>
      </c>
      <c r="AU37" s="84">
        <f>IF($B37="",0,IF(OR(الحضور!$AK39="W",الحضور!$AK39="PH"),AT37+1,0))</f>
        <v>0</v>
      </c>
      <c r="AV37" s="84">
        <f>IF($B37="",0,IF(OR(الحضور!$AL39="W",الحضور!$AL39="PH"),AU37+1,0))</f>
        <v>0</v>
      </c>
      <c r="AW37" s="84">
        <f>IF($B37="",0,IF(OR(الحضور!$AM39="W",الحضور!$AM39="PH"),AV37+1,0))</f>
        <v>0</v>
      </c>
      <c r="AX37" s="84">
        <f>IF($B37="",0,IF(OR(الحضور!$AN39="W",الحضور!$AN39="PH"),AW37+1,0))</f>
        <v>0</v>
      </c>
      <c r="AY37" s="84">
        <f>IF($B37="",0,IF(OR(الحضور!$AO39="W",الحضور!$AO39="PH"),AX37+1,0))</f>
        <v>0</v>
      </c>
      <c r="AZ37" s="84">
        <f>IF($B37="",0,IF(OR(الحضور!$AP39="W",الحضور!$AP39="PH"),AY37+1,0))</f>
        <v>0</v>
      </c>
      <c r="BB37" s="84">
        <f>IF($B37="",0,IF(الحضور!$L39="A",0+0+1,IF(OR(الحضور!$L39="W",الحضور!$L39="PH"),0,0)))</f>
        <v>0</v>
      </c>
      <c r="BC37" s="84">
        <f>IF($B37="",0,IF(الحضور!$M39="A",BB37+V37+1,IF(OR(الحضور!$M39="W",الحضور!$M39="PH"),BB37,0)))</f>
        <v>0</v>
      </c>
      <c r="BD37" s="84">
        <f>IF($B37="",0,IF(الحضور!$N39="A",BC37+W37+1,IF(OR(الحضور!$N39="W",الحضور!$N39="PH"),BC37,0)))</f>
        <v>0</v>
      </c>
      <c r="BE37" s="84">
        <f>IF($B37="",0,IF(الحضور!$O39="A",BD37+X37+1,IF(OR(الحضور!$O39="W",الحضور!$O39="PH"),BD37,0)))</f>
        <v>0</v>
      </c>
      <c r="BF37" s="84">
        <f>IF($B37="",0,IF(الحضور!$P39="A",BE37+Y37+1,IF(OR(الحضور!$P39="W",الحضور!$P39="PH"),BE37,0)))</f>
        <v>0</v>
      </c>
      <c r="BG37" s="84">
        <f>IF($B37="",0,IF(الحضور!$Q39="A",BF37+Z37+1,IF(OR(الحضور!$Q39="W",الحضور!$Q39="PH"),BF37,0)))</f>
        <v>0</v>
      </c>
      <c r="BH37" s="84">
        <f>IF($B37="",0,IF(الحضور!$R39="A",BG37+AA37+1,IF(OR(الحضور!$R39="W",الحضور!$R39="PH"),BG37,0)))</f>
        <v>0</v>
      </c>
      <c r="BI37" s="84">
        <f>IF($B37="",0,IF(الحضور!$S39="A",BH37+AB37+1,IF(OR(الحضور!$S39="W",الحضور!$S39="PH"),BH37,0)))</f>
        <v>0</v>
      </c>
      <c r="BJ37" s="84">
        <f>IF($B37="",0,IF(الحضور!$T39="A",BI37+AC37+1,IF(OR(الحضور!$T39="W",الحضور!$T39="PH"),BI37,0)))</f>
        <v>0</v>
      </c>
      <c r="BK37" s="84">
        <f>IF($B37="",0,IF(الحضور!$U39="A",BJ37+AD37+1,IF(OR(الحضور!$U39="W",الحضور!$U39="PH"),BJ37,0)))</f>
        <v>0</v>
      </c>
      <c r="BL37" s="84">
        <f>IF($B37="",0,IF(الحضور!$V39="A",BK37+AE37+1,IF(OR(الحضور!$V39="W",الحضور!$V39="PH"),BK37,0)))</f>
        <v>0</v>
      </c>
      <c r="BM37" s="84">
        <f>IF($B37="",0,IF(الحضور!$W39="A",BL37+AF37+1,IF(OR(الحضور!$W39="W",الحضور!$W39="PH"),BL37,0)))</f>
        <v>0</v>
      </c>
      <c r="BN37" s="84">
        <f>IF($B37="",0,IF(الحضور!$X39="A",BM37+AG37+1,IF(OR(الحضور!$X39="W",الحضور!$X39="PH"),BM37,0)))</f>
        <v>0</v>
      </c>
      <c r="BO37" s="84">
        <f>IF($B37="",0,IF(الحضور!$Y39="A",BN37+AH37+1,IF(OR(الحضور!$Y39="W",الحضور!$Y39="PH"),BN37,0)))</f>
        <v>0</v>
      </c>
      <c r="BP37" s="84">
        <f>IF($B37="",0,IF(الحضور!$Z39="A",BO37+AI37+1,IF(OR(الحضور!$Z39="W",الحضور!$Z39="PH"),BO37,0)))</f>
        <v>0</v>
      </c>
      <c r="BQ37" s="84">
        <f>IF($B37="",0,IF(الحضور!$AA39="A",BP37+AJ37+1,IF(OR(الحضور!$AA39="W",الحضور!$AA39="PH"),BP37,0)))</f>
        <v>0</v>
      </c>
      <c r="BR37" s="84">
        <f>IF($B37="",0,IF(الحضور!$AB39="A",BQ37+AK37+1,IF(OR(الحضور!$AB39="W",الحضور!$AB39="PH"),BQ37,0)))</f>
        <v>0</v>
      </c>
      <c r="BS37" s="84">
        <f>IF($B37="",0,IF(الحضور!$AC39="A",BR37+AL37+1,IF(OR(الحضور!$AC39="W",الحضور!$AC39="PH"),BR37,0)))</f>
        <v>0</v>
      </c>
      <c r="BT37" s="84">
        <f>IF($B37="",0,IF(الحضور!$AD39="A",BS37+AM37+1,IF(OR(الحضور!$AD39="W",الحضور!$AD39="PH"),BS37,0)))</f>
        <v>0</v>
      </c>
      <c r="BU37" s="84">
        <f>IF($B37="",0,IF(الحضور!$AE39="A",BT37+AN37+1,IF(OR(الحضور!$AE39="W",الحضور!$AE39="PH"),BT37,0)))</f>
        <v>0</v>
      </c>
      <c r="BV37" s="84">
        <f>IF($B37="",0,IF(الحضور!$AF39="A",BU37+AO37+1,IF(OR(الحضور!$AF39="W",الحضور!$AF39="PH"),BU37,0)))</f>
        <v>0</v>
      </c>
      <c r="BW37" s="84">
        <f>IF($B37="",0,IF(الحضور!$AG39="A",BV37+AP37+1,IF(OR(الحضور!$AG39="W",الحضور!$AG39="PH"),BV37,0)))</f>
        <v>0</v>
      </c>
      <c r="BX37" s="84">
        <f>IF($B37="",0,IF(الحضور!$AH39="A",BW37+AQ37+1,IF(OR(الحضور!$AH39="W",الحضور!$AH39="PH"),BW37,0)))</f>
        <v>0</v>
      </c>
      <c r="BY37" s="84">
        <f>IF($B37="",0,IF(الحضور!$AI39="A",BX37+AR37+1,IF(OR(الحضور!$AI39="W",الحضور!$AI39="PH"),BX37,0)))</f>
        <v>0</v>
      </c>
      <c r="BZ37" s="84">
        <f>IF($B37="",0,IF(الحضور!$AJ39="A",BY37+AS37+1,IF(OR(الحضور!$AJ39="W",الحضور!$AJ39="PH"),BY37,0)))</f>
        <v>0</v>
      </c>
      <c r="CA37" s="84">
        <f>IF($B37="",0,IF(الحضور!$AK39="A",BZ37+AT37+1,IF(OR(الحضور!$AK39="W",الحضور!$AK39="PH"),BZ37,0)))</f>
        <v>0</v>
      </c>
      <c r="CB37" s="84">
        <f>IF($B37="",0,IF(الحضور!$AL39="A",CA37+AU37+1,IF(OR(الحضور!$AL39="W",الحضور!$AL39="PH"),CA37,0)))</f>
        <v>0</v>
      </c>
      <c r="CC37" s="84">
        <f>IF($B37="",0,IF(الحضور!$AM39="A",CB37+AV37+1,IF(OR(الحضور!$AM39="W",الحضور!$AM39="PH"),CB37,0)))</f>
        <v>0</v>
      </c>
      <c r="CD37" s="84">
        <f>IF($B37="",0,IF(الحضور!$AN39="A",CC37+AW37+1,IF(OR(الحضور!$AN39="W",الحضور!$AN39="PH"),CC37,0)))</f>
        <v>0</v>
      </c>
      <c r="CE37" s="84">
        <f>IF($B37="",0,IF(الحضور!$AO39="A",CD37+AX37+1,IF(OR(الحضور!$AO39="W",الحضور!$AO39="PH"),CD37,0)))</f>
        <v>0</v>
      </c>
      <c r="CF37" s="84">
        <f>IF($B37="",0,IF(الحضور!$AP39="A",CE37+AY37+1,IF(OR(الحضور!$AP39="W",الحضور!$AP39="PH"),CE37,0)))</f>
        <v>0</v>
      </c>
    </row>
    <row r="38" spans="1:84" ht="16.5" customHeight="1" x14ac:dyDescent="0.35">
      <c r="A38" s="18"/>
      <c r="B38" s="62" t="str">
        <f>IF(الموظفون!$B38="","",الموظفون!$B38)</f>
        <v/>
      </c>
      <c r="C38" s="61" t="str">
        <f>IF($B38="","",الموظفون!$C38)</f>
        <v/>
      </c>
      <c r="D38" s="32"/>
      <c r="E38" s="32"/>
      <c r="F38" s="32"/>
      <c r="G38" s="32"/>
      <c r="H38" s="32"/>
      <c r="I38" s="32"/>
      <c r="J38" s="32"/>
      <c r="K38" s="32"/>
      <c r="L38" s="32"/>
      <c r="M38" s="32"/>
      <c r="N38" s="32"/>
      <c r="O38" s="32"/>
      <c r="P38" s="34" t="str">
        <f>IF($B38="","",SUM($D38:$O38)+IF(INDEX($D38:$O38,1,الإعدادات!$C$13)="",$Q38,0))</f>
        <v/>
      </c>
      <c r="Q38" s="51" t="str">
        <f>IF($B38="","",الحضور!$G40)</f>
        <v/>
      </c>
      <c r="R38" s="34" t="str">
        <f t="shared" si="0"/>
        <v/>
      </c>
      <c r="S38" s="32"/>
      <c r="T38" s="61" t="str">
        <f>IF($B38="","",IF(OR($R38&gt;الإعدادات!$C$36,$S38&gt;الإعدادات!$C$36),"تجاوز حد الإنهاء — غياب متصل",IF($P38&gt;الإعدادات!$C$37,"تجاوز حد الإنهاء — غياب متقطع",IF(OR($R38&gt;=الإعدادات!$C$34,$S38&gt;=الإعدادات!$C$34),"إنذار كتابي واجب — غياب متصل",IF($P38&gt;=الإعدادات!$C$35,"إنذار كتابي واجب — غياب متقطع","سليم")))))</f>
        <v/>
      </c>
      <c r="V38" s="84">
        <f>IF($B38="",0,IF(OR(الحضور!$L40="W",الحضور!$L40="PH"),0+1,0))</f>
        <v>0</v>
      </c>
      <c r="W38" s="84">
        <f>IF($B38="",0,IF(OR(الحضور!$M40="W",الحضور!$M40="PH"),V38+1,0))</f>
        <v>0</v>
      </c>
      <c r="X38" s="84">
        <f>IF($B38="",0,IF(OR(الحضور!$N40="W",الحضور!$N40="PH"),W38+1,0))</f>
        <v>0</v>
      </c>
      <c r="Y38" s="84">
        <f>IF($B38="",0,IF(OR(الحضور!$O40="W",الحضور!$O40="PH"),X38+1,0))</f>
        <v>0</v>
      </c>
      <c r="Z38" s="84">
        <f>IF($B38="",0,IF(OR(الحضور!$P40="W",الحضور!$P40="PH"),Y38+1,0))</f>
        <v>0</v>
      </c>
      <c r="AA38" s="84">
        <f>IF($B38="",0,IF(OR(الحضور!$Q40="W",الحضور!$Q40="PH"),Z38+1,0))</f>
        <v>0</v>
      </c>
      <c r="AB38" s="84">
        <f>IF($B38="",0,IF(OR(الحضور!$R40="W",الحضور!$R40="PH"),AA38+1,0))</f>
        <v>0</v>
      </c>
      <c r="AC38" s="84">
        <f>IF($B38="",0,IF(OR(الحضور!$S40="W",الحضور!$S40="PH"),AB38+1,0))</f>
        <v>0</v>
      </c>
      <c r="AD38" s="84">
        <f>IF($B38="",0,IF(OR(الحضور!$T40="W",الحضور!$T40="PH"),AC38+1,0))</f>
        <v>0</v>
      </c>
      <c r="AE38" s="84">
        <f>IF($B38="",0,IF(OR(الحضور!$U40="W",الحضور!$U40="PH"),AD38+1,0))</f>
        <v>0</v>
      </c>
      <c r="AF38" s="84">
        <f>IF($B38="",0,IF(OR(الحضور!$V40="W",الحضور!$V40="PH"),AE38+1,0))</f>
        <v>0</v>
      </c>
      <c r="AG38" s="84">
        <f>IF($B38="",0,IF(OR(الحضور!$W40="W",الحضور!$W40="PH"),AF38+1,0))</f>
        <v>0</v>
      </c>
      <c r="AH38" s="84">
        <f>IF($B38="",0,IF(OR(الحضور!$X40="W",الحضور!$X40="PH"),AG38+1,0))</f>
        <v>0</v>
      </c>
      <c r="AI38" s="84">
        <f>IF($B38="",0,IF(OR(الحضور!$Y40="W",الحضور!$Y40="PH"),AH38+1,0))</f>
        <v>0</v>
      </c>
      <c r="AJ38" s="84">
        <f>IF($B38="",0,IF(OR(الحضور!$Z40="W",الحضور!$Z40="PH"),AI38+1,0))</f>
        <v>0</v>
      </c>
      <c r="AK38" s="84">
        <f>IF($B38="",0,IF(OR(الحضور!$AA40="W",الحضور!$AA40="PH"),AJ38+1,0))</f>
        <v>0</v>
      </c>
      <c r="AL38" s="84">
        <f>IF($B38="",0,IF(OR(الحضور!$AB40="W",الحضور!$AB40="PH"),AK38+1,0))</f>
        <v>0</v>
      </c>
      <c r="AM38" s="84">
        <f>IF($B38="",0,IF(OR(الحضور!$AC40="W",الحضور!$AC40="PH"),AL38+1,0))</f>
        <v>0</v>
      </c>
      <c r="AN38" s="84">
        <f>IF($B38="",0,IF(OR(الحضور!$AD40="W",الحضور!$AD40="PH"),AM38+1,0))</f>
        <v>0</v>
      </c>
      <c r="AO38" s="84">
        <f>IF($B38="",0,IF(OR(الحضور!$AE40="W",الحضور!$AE40="PH"),AN38+1,0))</f>
        <v>0</v>
      </c>
      <c r="AP38" s="84">
        <f>IF($B38="",0,IF(OR(الحضور!$AF40="W",الحضور!$AF40="PH"),AO38+1,0))</f>
        <v>0</v>
      </c>
      <c r="AQ38" s="84">
        <f>IF($B38="",0,IF(OR(الحضور!$AG40="W",الحضور!$AG40="PH"),AP38+1,0))</f>
        <v>0</v>
      </c>
      <c r="AR38" s="84">
        <f>IF($B38="",0,IF(OR(الحضور!$AH40="W",الحضور!$AH40="PH"),AQ38+1,0))</f>
        <v>0</v>
      </c>
      <c r="AS38" s="84">
        <f>IF($B38="",0,IF(OR(الحضور!$AI40="W",الحضور!$AI40="PH"),AR38+1,0))</f>
        <v>0</v>
      </c>
      <c r="AT38" s="84">
        <f>IF($B38="",0,IF(OR(الحضور!$AJ40="W",الحضور!$AJ40="PH"),AS38+1,0))</f>
        <v>0</v>
      </c>
      <c r="AU38" s="84">
        <f>IF($B38="",0,IF(OR(الحضور!$AK40="W",الحضور!$AK40="PH"),AT38+1,0))</f>
        <v>0</v>
      </c>
      <c r="AV38" s="84">
        <f>IF($B38="",0,IF(OR(الحضور!$AL40="W",الحضور!$AL40="PH"),AU38+1,0))</f>
        <v>0</v>
      </c>
      <c r="AW38" s="84">
        <f>IF($B38="",0,IF(OR(الحضور!$AM40="W",الحضور!$AM40="PH"),AV38+1,0))</f>
        <v>0</v>
      </c>
      <c r="AX38" s="84">
        <f>IF($B38="",0,IF(OR(الحضور!$AN40="W",الحضور!$AN40="PH"),AW38+1,0))</f>
        <v>0</v>
      </c>
      <c r="AY38" s="84">
        <f>IF($B38="",0,IF(OR(الحضور!$AO40="W",الحضور!$AO40="PH"),AX38+1,0))</f>
        <v>0</v>
      </c>
      <c r="AZ38" s="84">
        <f>IF($B38="",0,IF(OR(الحضور!$AP40="W",الحضور!$AP40="PH"),AY38+1,0))</f>
        <v>0</v>
      </c>
      <c r="BB38" s="84">
        <f>IF($B38="",0,IF(الحضور!$L40="A",0+0+1,IF(OR(الحضور!$L40="W",الحضور!$L40="PH"),0,0)))</f>
        <v>0</v>
      </c>
      <c r="BC38" s="84">
        <f>IF($B38="",0,IF(الحضور!$M40="A",BB38+V38+1,IF(OR(الحضور!$M40="W",الحضور!$M40="PH"),BB38,0)))</f>
        <v>0</v>
      </c>
      <c r="BD38" s="84">
        <f>IF($B38="",0,IF(الحضور!$N40="A",BC38+W38+1,IF(OR(الحضور!$N40="W",الحضور!$N40="PH"),BC38,0)))</f>
        <v>0</v>
      </c>
      <c r="BE38" s="84">
        <f>IF($B38="",0,IF(الحضور!$O40="A",BD38+X38+1,IF(OR(الحضور!$O40="W",الحضور!$O40="PH"),BD38,0)))</f>
        <v>0</v>
      </c>
      <c r="BF38" s="84">
        <f>IF($B38="",0,IF(الحضور!$P40="A",BE38+Y38+1,IF(OR(الحضور!$P40="W",الحضور!$P40="PH"),BE38,0)))</f>
        <v>0</v>
      </c>
      <c r="BG38" s="84">
        <f>IF($B38="",0,IF(الحضور!$Q40="A",BF38+Z38+1,IF(OR(الحضور!$Q40="W",الحضور!$Q40="PH"),BF38,0)))</f>
        <v>0</v>
      </c>
      <c r="BH38" s="84">
        <f>IF($B38="",0,IF(الحضور!$R40="A",BG38+AA38+1,IF(OR(الحضور!$R40="W",الحضور!$R40="PH"),BG38,0)))</f>
        <v>0</v>
      </c>
      <c r="BI38" s="84">
        <f>IF($B38="",0,IF(الحضور!$S40="A",BH38+AB38+1,IF(OR(الحضور!$S40="W",الحضور!$S40="PH"),BH38,0)))</f>
        <v>0</v>
      </c>
      <c r="BJ38" s="84">
        <f>IF($B38="",0,IF(الحضور!$T40="A",BI38+AC38+1,IF(OR(الحضور!$T40="W",الحضور!$T40="PH"),BI38,0)))</f>
        <v>0</v>
      </c>
      <c r="BK38" s="84">
        <f>IF($B38="",0,IF(الحضور!$U40="A",BJ38+AD38+1,IF(OR(الحضور!$U40="W",الحضور!$U40="PH"),BJ38,0)))</f>
        <v>0</v>
      </c>
      <c r="BL38" s="84">
        <f>IF($B38="",0,IF(الحضور!$V40="A",BK38+AE38+1,IF(OR(الحضور!$V40="W",الحضور!$V40="PH"),BK38,0)))</f>
        <v>0</v>
      </c>
      <c r="BM38" s="84">
        <f>IF($B38="",0,IF(الحضور!$W40="A",BL38+AF38+1,IF(OR(الحضور!$W40="W",الحضور!$W40="PH"),BL38,0)))</f>
        <v>0</v>
      </c>
      <c r="BN38" s="84">
        <f>IF($B38="",0,IF(الحضور!$X40="A",BM38+AG38+1,IF(OR(الحضور!$X40="W",الحضور!$X40="PH"),BM38,0)))</f>
        <v>0</v>
      </c>
      <c r="BO38" s="84">
        <f>IF($B38="",0,IF(الحضور!$Y40="A",BN38+AH38+1,IF(OR(الحضور!$Y40="W",الحضور!$Y40="PH"),BN38,0)))</f>
        <v>0</v>
      </c>
      <c r="BP38" s="84">
        <f>IF($B38="",0,IF(الحضور!$Z40="A",BO38+AI38+1,IF(OR(الحضور!$Z40="W",الحضور!$Z40="PH"),BO38,0)))</f>
        <v>0</v>
      </c>
      <c r="BQ38" s="84">
        <f>IF($B38="",0,IF(الحضور!$AA40="A",BP38+AJ38+1,IF(OR(الحضور!$AA40="W",الحضور!$AA40="PH"),BP38,0)))</f>
        <v>0</v>
      </c>
      <c r="BR38" s="84">
        <f>IF($B38="",0,IF(الحضور!$AB40="A",BQ38+AK38+1,IF(OR(الحضور!$AB40="W",الحضور!$AB40="PH"),BQ38,0)))</f>
        <v>0</v>
      </c>
      <c r="BS38" s="84">
        <f>IF($B38="",0,IF(الحضور!$AC40="A",BR38+AL38+1,IF(OR(الحضور!$AC40="W",الحضور!$AC40="PH"),BR38,0)))</f>
        <v>0</v>
      </c>
      <c r="BT38" s="84">
        <f>IF($B38="",0,IF(الحضور!$AD40="A",BS38+AM38+1,IF(OR(الحضور!$AD40="W",الحضور!$AD40="PH"),BS38,0)))</f>
        <v>0</v>
      </c>
      <c r="BU38" s="84">
        <f>IF($B38="",0,IF(الحضور!$AE40="A",BT38+AN38+1,IF(OR(الحضور!$AE40="W",الحضور!$AE40="PH"),BT38,0)))</f>
        <v>0</v>
      </c>
      <c r="BV38" s="84">
        <f>IF($B38="",0,IF(الحضور!$AF40="A",BU38+AO38+1,IF(OR(الحضور!$AF40="W",الحضور!$AF40="PH"),BU38,0)))</f>
        <v>0</v>
      </c>
      <c r="BW38" s="84">
        <f>IF($B38="",0,IF(الحضور!$AG40="A",BV38+AP38+1,IF(OR(الحضور!$AG40="W",الحضور!$AG40="PH"),BV38,0)))</f>
        <v>0</v>
      </c>
      <c r="BX38" s="84">
        <f>IF($B38="",0,IF(الحضور!$AH40="A",BW38+AQ38+1,IF(OR(الحضور!$AH40="W",الحضور!$AH40="PH"),BW38,0)))</f>
        <v>0</v>
      </c>
      <c r="BY38" s="84">
        <f>IF($B38="",0,IF(الحضور!$AI40="A",BX38+AR38+1,IF(OR(الحضور!$AI40="W",الحضور!$AI40="PH"),BX38,0)))</f>
        <v>0</v>
      </c>
      <c r="BZ38" s="84">
        <f>IF($B38="",0,IF(الحضور!$AJ40="A",BY38+AS38+1,IF(OR(الحضور!$AJ40="W",الحضور!$AJ40="PH"),BY38,0)))</f>
        <v>0</v>
      </c>
      <c r="CA38" s="84">
        <f>IF($B38="",0,IF(الحضور!$AK40="A",BZ38+AT38+1,IF(OR(الحضور!$AK40="W",الحضور!$AK40="PH"),BZ38,0)))</f>
        <v>0</v>
      </c>
      <c r="CB38" s="84">
        <f>IF($B38="",0,IF(الحضور!$AL40="A",CA38+AU38+1,IF(OR(الحضور!$AL40="W",الحضور!$AL40="PH"),CA38,0)))</f>
        <v>0</v>
      </c>
      <c r="CC38" s="84">
        <f>IF($B38="",0,IF(الحضور!$AM40="A",CB38+AV38+1,IF(OR(الحضور!$AM40="W",الحضور!$AM40="PH"),CB38,0)))</f>
        <v>0</v>
      </c>
      <c r="CD38" s="84">
        <f>IF($B38="",0,IF(الحضور!$AN40="A",CC38+AW38+1,IF(OR(الحضور!$AN40="W",الحضور!$AN40="PH"),CC38,0)))</f>
        <v>0</v>
      </c>
      <c r="CE38" s="84">
        <f>IF($B38="",0,IF(الحضور!$AO40="A",CD38+AX38+1,IF(OR(الحضور!$AO40="W",الحضور!$AO40="PH"),CD38,0)))</f>
        <v>0</v>
      </c>
      <c r="CF38" s="84">
        <f>IF($B38="",0,IF(الحضور!$AP40="A",CE38+AY38+1,IF(OR(الحضور!$AP40="W",الحضور!$AP40="PH"),CE38,0)))</f>
        <v>0</v>
      </c>
    </row>
    <row r="39" spans="1:84" ht="16.5" customHeight="1" x14ac:dyDescent="0.35">
      <c r="A39" s="18"/>
      <c r="B39" s="62" t="str">
        <f>IF(الموظفون!$B39="","",الموظفون!$B39)</f>
        <v/>
      </c>
      <c r="C39" s="61" t="str">
        <f>IF($B39="","",الموظفون!$C39)</f>
        <v/>
      </c>
      <c r="D39" s="32"/>
      <c r="E39" s="32"/>
      <c r="F39" s="32"/>
      <c r="G39" s="32"/>
      <c r="H39" s="32"/>
      <c r="I39" s="32"/>
      <c r="J39" s="32"/>
      <c r="K39" s="32"/>
      <c r="L39" s="32"/>
      <c r="M39" s="32"/>
      <c r="N39" s="32"/>
      <c r="O39" s="32"/>
      <c r="P39" s="34" t="str">
        <f>IF($B39="","",SUM($D39:$O39)+IF(INDEX($D39:$O39,1,الإعدادات!$C$13)="",$Q39,0))</f>
        <v/>
      </c>
      <c r="Q39" s="51" t="str">
        <f>IF($B39="","",الحضور!$G41)</f>
        <v/>
      </c>
      <c r="R39" s="34" t="str">
        <f t="shared" si="0"/>
        <v/>
      </c>
      <c r="S39" s="32"/>
      <c r="T39" s="61" t="str">
        <f>IF($B39="","",IF(OR($R39&gt;الإعدادات!$C$36,$S39&gt;الإعدادات!$C$36),"تجاوز حد الإنهاء — غياب متصل",IF($P39&gt;الإعدادات!$C$37,"تجاوز حد الإنهاء — غياب متقطع",IF(OR($R39&gt;=الإعدادات!$C$34,$S39&gt;=الإعدادات!$C$34),"إنذار كتابي واجب — غياب متصل",IF($P39&gt;=الإعدادات!$C$35,"إنذار كتابي واجب — غياب متقطع","سليم")))))</f>
        <v/>
      </c>
      <c r="V39" s="84">
        <f>IF($B39="",0,IF(OR(الحضور!$L41="W",الحضور!$L41="PH"),0+1,0))</f>
        <v>0</v>
      </c>
      <c r="W39" s="84">
        <f>IF($B39="",0,IF(OR(الحضور!$M41="W",الحضور!$M41="PH"),V39+1,0))</f>
        <v>0</v>
      </c>
      <c r="X39" s="84">
        <f>IF($B39="",0,IF(OR(الحضور!$N41="W",الحضور!$N41="PH"),W39+1,0))</f>
        <v>0</v>
      </c>
      <c r="Y39" s="84">
        <f>IF($B39="",0,IF(OR(الحضور!$O41="W",الحضور!$O41="PH"),X39+1,0))</f>
        <v>0</v>
      </c>
      <c r="Z39" s="84">
        <f>IF($B39="",0,IF(OR(الحضور!$P41="W",الحضور!$P41="PH"),Y39+1,0))</f>
        <v>0</v>
      </c>
      <c r="AA39" s="84">
        <f>IF($B39="",0,IF(OR(الحضور!$Q41="W",الحضور!$Q41="PH"),Z39+1,0))</f>
        <v>0</v>
      </c>
      <c r="AB39" s="84">
        <f>IF($B39="",0,IF(OR(الحضور!$R41="W",الحضور!$R41="PH"),AA39+1,0))</f>
        <v>0</v>
      </c>
      <c r="AC39" s="84">
        <f>IF($B39="",0,IF(OR(الحضور!$S41="W",الحضور!$S41="PH"),AB39+1,0))</f>
        <v>0</v>
      </c>
      <c r="AD39" s="84">
        <f>IF($B39="",0,IF(OR(الحضور!$T41="W",الحضور!$T41="PH"),AC39+1,0))</f>
        <v>0</v>
      </c>
      <c r="AE39" s="84">
        <f>IF($B39="",0,IF(OR(الحضور!$U41="W",الحضور!$U41="PH"),AD39+1,0))</f>
        <v>0</v>
      </c>
      <c r="AF39" s="84">
        <f>IF($B39="",0,IF(OR(الحضور!$V41="W",الحضور!$V41="PH"),AE39+1,0))</f>
        <v>0</v>
      </c>
      <c r="AG39" s="84">
        <f>IF($B39="",0,IF(OR(الحضور!$W41="W",الحضور!$W41="PH"),AF39+1,0))</f>
        <v>0</v>
      </c>
      <c r="AH39" s="84">
        <f>IF($B39="",0,IF(OR(الحضور!$X41="W",الحضور!$X41="PH"),AG39+1,0))</f>
        <v>0</v>
      </c>
      <c r="AI39" s="84">
        <f>IF($B39="",0,IF(OR(الحضور!$Y41="W",الحضور!$Y41="PH"),AH39+1,0))</f>
        <v>0</v>
      </c>
      <c r="AJ39" s="84">
        <f>IF($B39="",0,IF(OR(الحضور!$Z41="W",الحضور!$Z41="PH"),AI39+1,0))</f>
        <v>0</v>
      </c>
      <c r="AK39" s="84">
        <f>IF($B39="",0,IF(OR(الحضور!$AA41="W",الحضور!$AA41="PH"),AJ39+1,0))</f>
        <v>0</v>
      </c>
      <c r="AL39" s="84">
        <f>IF($B39="",0,IF(OR(الحضور!$AB41="W",الحضور!$AB41="PH"),AK39+1,0))</f>
        <v>0</v>
      </c>
      <c r="AM39" s="84">
        <f>IF($B39="",0,IF(OR(الحضور!$AC41="W",الحضور!$AC41="PH"),AL39+1,0))</f>
        <v>0</v>
      </c>
      <c r="AN39" s="84">
        <f>IF($B39="",0,IF(OR(الحضور!$AD41="W",الحضور!$AD41="PH"),AM39+1,0))</f>
        <v>0</v>
      </c>
      <c r="AO39" s="84">
        <f>IF($B39="",0,IF(OR(الحضور!$AE41="W",الحضور!$AE41="PH"),AN39+1,0))</f>
        <v>0</v>
      </c>
      <c r="AP39" s="84">
        <f>IF($B39="",0,IF(OR(الحضور!$AF41="W",الحضور!$AF41="PH"),AO39+1,0))</f>
        <v>0</v>
      </c>
      <c r="AQ39" s="84">
        <f>IF($B39="",0,IF(OR(الحضور!$AG41="W",الحضور!$AG41="PH"),AP39+1,0))</f>
        <v>0</v>
      </c>
      <c r="AR39" s="84">
        <f>IF($B39="",0,IF(OR(الحضور!$AH41="W",الحضور!$AH41="PH"),AQ39+1,0))</f>
        <v>0</v>
      </c>
      <c r="AS39" s="84">
        <f>IF($B39="",0,IF(OR(الحضور!$AI41="W",الحضور!$AI41="PH"),AR39+1,0))</f>
        <v>0</v>
      </c>
      <c r="AT39" s="84">
        <f>IF($B39="",0,IF(OR(الحضور!$AJ41="W",الحضور!$AJ41="PH"),AS39+1,0))</f>
        <v>0</v>
      </c>
      <c r="AU39" s="84">
        <f>IF($B39="",0,IF(OR(الحضور!$AK41="W",الحضور!$AK41="PH"),AT39+1,0))</f>
        <v>0</v>
      </c>
      <c r="AV39" s="84">
        <f>IF($B39="",0,IF(OR(الحضور!$AL41="W",الحضور!$AL41="PH"),AU39+1,0))</f>
        <v>0</v>
      </c>
      <c r="AW39" s="84">
        <f>IF($B39="",0,IF(OR(الحضور!$AM41="W",الحضور!$AM41="PH"),AV39+1,0))</f>
        <v>0</v>
      </c>
      <c r="AX39" s="84">
        <f>IF($B39="",0,IF(OR(الحضور!$AN41="W",الحضور!$AN41="PH"),AW39+1,0))</f>
        <v>0</v>
      </c>
      <c r="AY39" s="84">
        <f>IF($B39="",0,IF(OR(الحضور!$AO41="W",الحضور!$AO41="PH"),AX39+1,0))</f>
        <v>0</v>
      </c>
      <c r="AZ39" s="84">
        <f>IF($B39="",0,IF(OR(الحضور!$AP41="W",الحضور!$AP41="PH"),AY39+1,0))</f>
        <v>0</v>
      </c>
      <c r="BB39" s="84">
        <f>IF($B39="",0,IF(الحضور!$L41="A",0+0+1,IF(OR(الحضور!$L41="W",الحضور!$L41="PH"),0,0)))</f>
        <v>0</v>
      </c>
      <c r="BC39" s="84">
        <f>IF($B39="",0,IF(الحضور!$M41="A",BB39+V39+1,IF(OR(الحضور!$M41="W",الحضور!$M41="PH"),BB39,0)))</f>
        <v>0</v>
      </c>
      <c r="BD39" s="84">
        <f>IF($B39="",0,IF(الحضور!$N41="A",BC39+W39+1,IF(OR(الحضور!$N41="W",الحضور!$N41="PH"),BC39,0)))</f>
        <v>0</v>
      </c>
      <c r="BE39" s="84">
        <f>IF($B39="",0,IF(الحضور!$O41="A",BD39+X39+1,IF(OR(الحضور!$O41="W",الحضور!$O41="PH"),BD39,0)))</f>
        <v>0</v>
      </c>
      <c r="BF39" s="84">
        <f>IF($B39="",0,IF(الحضور!$P41="A",BE39+Y39+1,IF(OR(الحضور!$P41="W",الحضور!$P41="PH"),BE39,0)))</f>
        <v>0</v>
      </c>
      <c r="BG39" s="84">
        <f>IF($B39="",0,IF(الحضور!$Q41="A",BF39+Z39+1,IF(OR(الحضور!$Q41="W",الحضور!$Q41="PH"),BF39,0)))</f>
        <v>0</v>
      </c>
      <c r="BH39" s="84">
        <f>IF($B39="",0,IF(الحضور!$R41="A",BG39+AA39+1,IF(OR(الحضور!$R41="W",الحضور!$R41="PH"),BG39,0)))</f>
        <v>0</v>
      </c>
      <c r="BI39" s="84">
        <f>IF($B39="",0,IF(الحضور!$S41="A",BH39+AB39+1,IF(OR(الحضور!$S41="W",الحضور!$S41="PH"),BH39,0)))</f>
        <v>0</v>
      </c>
      <c r="BJ39" s="84">
        <f>IF($B39="",0,IF(الحضور!$T41="A",BI39+AC39+1,IF(OR(الحضور!$T41="W",الحضور!$T41="PH"),BI39,0)))</f>
        <v>0</v>
      </c>
      <c r="BK39" s="84">
        <f>IF($B39="",0,IF(الحضور!$U41="A",BJ39+AD39+1,IF(OR(الحضور!$U41="W",الحضور!$U41="PH"),BJ39,0)))</f>
        <v>0</v>
      </c>
      <c r="BL39" s="84">
        <f>IF($B39="",0,IF(الحضور!$V41="A",BK39+AE39+1,IF(OR(الحضور!$V41="W",الحضور!$V41="PH"),BK39,0)))</f>
        <v>0</v>
      </c>
      <c r="BM39" s="84">
        <f>IF($B39="",0,IF(الحضور!$W41="A",BL39+AF39+1,IF(OR(الحضور!$W41="W",الحضور!$W41="PH"),BL39,0)))</f>
        <v>0</v>
      </c>
      <c r="BN39" s="84">
        <f>IF($B39="",0,IF(الحضور!$X41="A",BM39+AG39+1,IF(OR(الحضور!$X41="W",الحضور!$X41="PH"),BM39,0)))</f>
        <v>0</v>
      </c>
      <c r="BO39" s="84">
        <f>IF($B39="",0,IF(الحضور!$Y41="A",BN39+AH39+1,IF(OR(الحضور!$Y41="W",الحضور!$Y41="PH"),BN39,0)))</f>
        <v>0</v>
      </c>
      <c r="BP39" s="84">
        <f>IF($B39="",0,IF(الحضور!$Z41="A",BO39+AI39+1,IF(OR(الحضور!$Z41="W",الحضور!$Z41="PH"),BO39,0)))</f>
        <v>0</v>
      </c>
      <c r="BQ39" s="84">
        <f>IF($B39="",0,IF(الحضور!$AA41="A",BP39+AJ39+1,IF(OR(الحضور!$AA41="W",الحضور!$AA41="PH"),BP39,0)))</f>
        <v>0</v>
      </c>
      <c r="BR39" s="84">
        <f>IF($B39="",0,IF(الحضور!$AB41="A",BQ39+AK39+1,IF(OR(الحضور!$AB41="W",الحضور!$AB41="PH"),BQ39,0)))</f>
        <v>0</v>
      </c>
      <c r="BS39" s="84">
        <f>IF($B39="",0,IF(الحضور!$AC41="A",BR39+AL39+1,IF(OR(الحضور!$AC41="W",الحضور!$AC41="PH"),BR39,0)))</f>
        <v>0</v>
      </c>
      <c r="BT39" s="84">
        <f>IF($B39="",0,IF(الحضور!$AD41="A",BS39+AM39+1,IF(OR(الحضور!$AD41="W",الحضور!$AD41="PH"),BS39,0)))</f>
        <v>0</v>
      </c>
      <c r="BU39" s="84">
        <f>IF($B39="",0,IF(الحضور!$AE41="A",BT39+AN39+1,IF(OR(الحضور!$AE41="W",الحضور!$AE41="PH"),BT39,0)))</f>
        <v>0</v>
      </c>
      <c r="BV39" s="84">
        <f>IF($B39="",0,IF(الحضور!$AF41="A",BU39+AO39+1,IF(OR(الحضور!$AF41="W",الحضور!$AF41="PH"),BU39,0)))</f>
        <v>0</v>
      </c>
      <c r="BW39" s="84">
        <f>IF($B39="",0,IF(الحضور!$AG41="A",BV39+AP39+1,IF(OR(الحضور!$AG41="W",الحضور!$AG41="PH"),BV39,0)))</f>
        <v>0</v>
      </c>
      <c r="BX39" s="84">
        <f>IF($B39="",0,IF(الحضور!$AH41="A",BW39+AQ39+1,IF(OR(الحضور!$AH41="W",الحضور!$AH41="PH"),BW39,0)))</f>
        <v>0</v>
      </c>
      <c r="BY39" s="84">
        <f>IF($B39="",0,IF(الحضور!$AI41="A",BX39+AR39+1,IF(OR(الحضور!$AI41="W",الحضور!$AI41="PH"),BX39,0)))</f>
        <v>0</v>
      </c>
      <c r="BZ39" s="84">
        <f>IF($B39="",0,IF(الحضور!$AJ41="A",BY39+AS39+1,IF(OR(الحضور!$AJ41="W",الحضور!$AJ41="PH"),BY39,0)))</f>
        <v>0</v>
      </c>
      <c r="CA39" s="84">
        <f>IF($B39="",0,IF(الحضور!$AK41="A",BZ39+AT39+1,IF(OR(الحضور!$AK41="W",الحضور!$AK41="PH"),BZ39,0)))</f>
        <v>0</v>
      </c>
      <c r="CB39" s="84">
        <f>IF($B39="",0,IF(الحضور!$AL41="A",CA39+AU39+1,IF(OR(الحضور!$AL41="W",الحضور!$AL41="PH"),CA39,0)))</f>
        <v>0</v>
      </c>
      <c r="CC39" s="84">
        <f>IF($B39="",0,IF(الحضور!$AM41="A",CB39+AV39+1,IF(OR(الحضور!$AM41="W",الحضور!$AM41="PH"),CB39,0)))</f>
        <v>0</v>
      </c>
      <c r="CD39" s="84">
        <f>IF($B39="",0,IF(الحضور!$AN41="A",CC39+AW39+1,IF(OR(الحضور!$AN41="W",الحضور!$AN41="PH"),CC39,0)))</f>
        <v>0</v>
      </c>
      <c r="CE39" s="84">
        <f>IF($B39="",0,IF(الحضور!$AO41="A",CD39+AX39+1,IF(OR(الحضور!$AO41="W",الحضور!$AO41="PH"),CD39,0)))</f>
        <v>0</v>
      </c>
      <c r="CF39" s="84">
        <f>IF($B39="",0,IF(الحضور!$AP41="A",CE39+AY39+1,IF(OR(الحضور!$AP41="W",الحضور!$AP41="PH"),CE39,0)))</f>
        <v>0</v>
      </c>
    </row>
    <row r="40" spans="1:84" ht="16.5" customHeight="1" x14ac:dyDescent="0.35">
      <c r="A40" s="18"/>
      <c r="B40" s="62" t="str">
        <f>IF(الموظفون!$B40="","",الموظفون!$B40)</f>
        <v/>
      </c>
      <c r="C40" s="61" t="str">
        <f>IF($B40="","",الموظفون!$C40)</f>
        <v/>
      </c>
      <c r="D40" s="32"/>
      <c r="E40" s="32"/>
      <c r="F40" s="32"/>
      <c r="G40" s="32"/>
      <c r="H40" s="32"/>
      <c r="I40" s="32"/>
      <c r="J40" s="32"/>
      <c r="K40" s="32"/>
      <c r="L40" s="32"/>
      <c r="M40" s="32"/>
      <c r="N40" s="32"/>
      <c r="O40" s="32"/>
      <c r="P40" s="34" t="str">
        <f>IF($B40="","",SUM($D40:$O40)+IF(INDEX($D40:$O40,1,الإعدادات!$C$13)="",$Q40,0))</f>
        <v/>
      </c>
      <c r="Q40" s="51" t="str">
        <f>IF($B40="","",الحضور!$G42)</f>
        <v/>
      </c>
      <c r="R40" s="34" t="str">
        <f t="shared" si="0"/>
        <v/>
      </c>
      <c r="S40" s="32"/>
      <c r="T40" s="61" t="str">
        <f>IF($B40="","",IF(OR($R40&gt;الإعدادات!$C$36,$S40&gt;الإعدادات!$C$36),"تجاوز حد الإنهاء — غياب متصل",IF($P40&gt;الإعدادات!$C$37,"تجاوز حد الإنهاء — غياب متقطع",IF(OR($R40&gt;=الإعدادات!$C$34,$S40&gt;=الإعدادات!$C$34),"إنذار كتابي واجب — غياب متصل",IF($P40&gt;=الإعدادات!$C$35,"إنذار كتابي واجب — غياب متقطع","سليم")))))</f>
        <v/>
      </c>
      <c r="V40" s="84">
        <f>IF($B40="",0,IF(OR(الحضور!$L42="W",الحضور!$L42="PH"),0+1,0))</f>
        <v>0</v>
      </c>
      <c r="W40" s="84">
        <f>IF($B40="",0,IF(OR(الحضور!$M42="W",الحضور!$M42="PH"),V40+1,0))</f>
        <v>0</v>
      </c>
      <c r="X40" s="84">
        <f>IF($B40="",0,IF(OR(الحضور!$N42="W",الحضور!$N42="PH"),W40+1,0))</f>
        <v>0</v>
      </c>
      <c r="Y40" s="84">
        <f>IF($B40="",0,IF(OR(الحضور!$O42="W",الحضور!$O42="PH"),X40+1,0))</f>
        <v>0</v>
      </c>
      <c r="Z40" s="84">
        <f>IF($B40="",0,IF(OR(الحضور!$P42="W",الحضور!$P42="PH"),Y40+1,0))</f>
        <v>0</v>
      </c>
      <c r="AA40" s="84">
        <f>IF($B40="",0,IF(OR(الحضور!$Q42="W",الحضور!$Q42="PH"),Z40+1,0))</f>
        <v>0</v>
      </c>
      <c r="AB40" s="84">
        <f>IF($B40="",0,IF(OR(الحضور!$R42="W",الحضور!$R42="PH"),AA40+1,0))</f>
        <v>0</v>
      </c>
      <c r="AC40" s="84">
        <f>IF($B40="",0,IF(OR(الحضور!$S42="W",الحضور!$S42="PH"),AB40+1,0))</f>
        <v>0</v>
      </c>
      <c r="AD40" s="84">
        <f>IF($B40="",0,IF(OR(الحضور!$T42="W",الحضور!$T42="PH"),AC40+1,0))</f>
        <v>0</v>
      </c>
      <c r="AE40" s="84">
        <f>IF($B40="",0,IF(OR(الحضور!$U42="W",الحضور!$U42="PH"),AD40+1,0))</f>
        <v>0</v>
      </c>
      <c r="AF40" s="84">
        <f>IF($B40="",0,IF(OR(الحضور!$V42="W",الحضور!$V42="PH"),AE40+1,0))</f>
        <v>0</v>
      </c>
      <c r="AG40" s="84">
        <f>IF($B40="",0,IF(OR(الحضور!$W42="W",الحضور!$W42="PH"),AF40+1,0))</f>
        <v>0</v>
      </c>
      <c r="AH40" s="84">
        <f>IF($B40="",0,IF(OR(الحضور!$X42="W",الحضور!$X42="PH"),AG40+1,0))</f>
        <v>0</v>
      </c>
      <c r="AI40" s="84">
        <f>IF($B40="",0,IF(OR(الحضور!$Y42="W",الحضور!$Y42="PH"),AH40+1,0))</f>
        <v>0</v>
      </c>
      <c r="AJ40" s="84">
        <f>IF($B40="",0,IF(OR(الحضور!$Z42="W",الحضور!$Z42="PH"),AI40+1,0))</f>
        <v>0</v>
      </c>
      <c r="AK40" s="84">
        <f>IF($B40="",0,IF(OR(الحضور!$AA42="W",الحضور!$AA42="PH"),AJ40+1,0))</f>
        <v>0</v>
      </c>
      <c r="AL40" s="84">
        <f>IF($B40="",0,IF(OR(الحضور!$AB42="W",الحضور!$AB42="PH"),AK40+1,0))</f>
        <v>0</v>
      </c>
      <c r="AM40" s="84">
        <f>IF($B40="",0,IF(OR(الحضور!$AC42="W",الحضور!$AC42="PH"),AL40+1,0))</f>
        <v>0</v>
      </c>
      <c r="AN40" s="84">
        <f>IF($B40="",0,IF(OR(الحضور!$AD42="W",الحضور!$AD42="PH"),AM40+1,0))</f>
        <v>0</v>
      </c>
      <c r="AO40" s="84">
        <f>IF($B40="",0,IF(OR(الحضور!$AE42="W",الحضور!$AE42="PH"),AN40+1,0))</f>
        <v>0</v>
      </c>
      <c r="AP40" s="84">
        <f>IF($B40="",0,IF(OR(الحضور!$AF42="W",الحضور!$AF42="PH"),AO40+1,0))</f>
        <v>0</v>
      </c>
      <c r="AQ40" s="84">
        <f>IF($B40="",0,IF(OR(الحضور!$AG42="W",الحضور!$AG42="PH"),AP40+1,0))</f>
        <v>0</v>
      </c>
      <c r="AR40" s="84">
        <f>IF($B40="",0,IF(OR(الحضور!$AH42="W",الحضور!$AH42="PH"),AQ40+1,0))</f>
        <v>0</v>
      </c>
      <c r="AS40" s="84">
        <f>IF($B40="",0,IF(OR(الحضور!$AI42="W",الحضور!$AI42="PH"),AR40+1,0))</f>
        <v>0</v>
      </c>
      <c r="AT40" s="84">
        <f>IF($B40="",0,IF(OR(الحضور!$AJ42="W",الحضور!$AJ42="PH"),AS40+1,0))</f>
        <v>0</v>
      </c>
      <c r="AU40" s="84">
        <f>IF($B40="",0,IF(OR(الحضور!$AK42="W",الحضور!$AK42="PH"),AT40+1,0))</f>
        <v>0</v>
      </c>
      <c r="AV40" s="84">
        <f>IF($B40="",0,IF(OR(الحضور!$AL42="W",الحضور!$AL42="PH"),AU40+1,0))</f>
        <v>0</v>
      </c>
      <c r="AW40" s="84">
        <f>IF($B40="",0,IF(OR(الحضور!$AM42="W",الحضور!$AM42="PH"),AV40+1,0))</f>
        <v>0</v>
      </c>
      <c r="AX40" s="84">
        <f>IF($B40="",0,IF(OR(الحضور!$AN42="W",الحضور!$AN42="PH"),AW40+1,0))</f>
        <v>0</v>
      </c>
      <c r="AY40" s="84">
        <f>IF($B40="",0,IF(OR(الحضور!$AO42="W",الحضور!$AO42="PH"),AX40+1,0))</f>
        <v>0</v>
      </c>
      <c r="AZ40" s="84">
        <f>IF($B40="",0,IF(OR(الحضور!$AP42="W",الحضور!$AP42="PH"),AY40+1,0))</f>
        <v>0</v>
      </c>
      <c r="BB40" s="84">
        <f>IF($B40="",0,IF(الحضور!$L42="A",0+0+1,IF(OR(الحضور!$L42="W",الحضور!$L42="PH"),0,0)))</f>
        <v>0</v>
      </c>
      <c r="BC40" s="84">
        <f>IF($B40="",0,IF(الحضور!$M42="A",BB40+V40+1,IF(OR(الحضور!$M42="W",الحضور!$M42="PH"),BB40,0)))</f>
        <v>0</v>
      </c>
      <c r="BD40" s="84">
        <f>IF($B40="",0,IF(الحضور!$N42="A",BC40+W40+1,IF(OR(الحضور!$N42="W",الحضور!$N42="PH"),BC40,0)))</f>
        <v>0</v>
      </c>
      <c r="BE40" s="84">
        <f>IF($B40="",0,IF(الحضور!$O42="A",BD40+X40+1,IF(OR(الحضور!$O42="W",الحضور!$O42="PH"),BD40,0)))</f>
        <v>0</v>
      </c>
      <c r="BF40" s="84">
        <f>IF($B40="",0,IF(الحضور!$P42="A",BE40+Y40+1,IF(OR(الحضور!$P42="W",الحضور!$P42="PH"),BE40,0)))</f>
        <v>0</v>
      </c>
      <c r="BG40" s="84">
        <f>IF($B40="",0,IF(الحضور!$Q42="A",BF40+Z40+1,IF(OR(الحضور!$Q42="W",الحضور!$Q42="PH"),BF40,0)))</f>
        <v>0</v>
      </c>
      <c r="BH40" s="84">
        <f>IF($B40="",0,IF(الحضور!$R42="A",BG40+AA40+1,IF(OR(الحضور!$R42="W",الحضور!$R42="PH"),BG40,0)))</f>
        <v>0</v>
      </c>
      <c r="BI40" s="84">
        <f>IF($B40="",0,IF(الحضور!$S42="A",BH40+AB40+1,IF(OR(الحضور!$S42="W",الحضور!$S42="PH"),BH40,0)))</f>
        <v>0</v>
      </c>
      <c r="BJ40" s="84">
        <f>IF($B40="",0,IF(الحضور!$T42="A",BI40+AC40+1,IF(OR(الحضور!$T42="W",الحضور!$T42="PH"),BI40,0)))</f>
        <v>0</v>
      </c>
      <c r="BK40" s="84">
        <f>IF($B40="",0,IF(الحضور!$U42="A",BJ40+AD40+1,IF(OR(الحضور!$U42="W",الحضور!$U42="PH"),BJ40,0)))</f>
        <v>0</v>
      </c>
      <c r="BL40" s="84">
        <f>IF($B40="",0,IF(الحضور!$V42="A",BK40+AE40+1,IF(OR(الحضور!$V42="W",الحضور!$V42="PH"),BK40,0)))</f>
        <v>0</v>
      </c>
      <c r="BM40" s="84">
        <f>IF($B40="",0,IF(الحضور!$W42="A",BL40+AF40+1,IF(OR(الحضور!$W42="W",الحضور!$W42="PH"),BL40,0)))</f>
        <v>0</v>
      </c>
      <c r="BN40" s="84">
        <f>IF($B40="",0,IF(الحضور!$X42="A",BM40+AG40+1,IF(OR(الحضور!$X42="W",الحضور!$X42="PH"),BM40,0)))</f>
        <v>0</v>
      </c>
      <c r="BO40" s="84">
        <f>IF($B40="",0,IF(الحضور!$Y42="A",BN40+AH40+1,IF(OR(الحضور!$Y42="W",الحضور!$Y42="PH"),BN40,0)))</f>
        <v>0</v>
      </c>
      <c r="BP40" s="84">
        <f>IF($B40="",0,IF(الحضور!$Z42="A",BO40+AI40+1,IF(OR(الحضور!$Z42="W",الحضور!$Z42="PH"),BO40,0)))</f>
        <v>0</v>
      </c>
      <c r="BQ40" s="84">
        <f>IF($B40="",0,IF(الحضور!$AA42="A",BP40+AJ40+1,IF(OR(الحضور!$AA42="W",الحضور!$AA42="PH"),BP40,0)))</f>
        <v>0</v>
      </c>
      <c r="BR40" s="84">
        <f>IF($B40="",0,IF(الحضور!$AB42="A",BQ40+AK40+1,IF(OR(الحضور!$AB42="W",الحضور!$AB42="PH"),BQ40,0)))</f>
        <v>0</v>
      </c>
      <c r="BS40" s="84">
        <f>IF($B40="",0,IF(الحضور!$AC42="A",BR40+AL40+1,IF(OR(الحضور!$AC42="W",الحضور!$AC42="PH"),BR40,0)))</f>
        <v>0</v>
      </c>
      <c r="BT40" s="84">
        <f>IF($B40="",0,IF(الحضور!$AD42="A",BS40+AM40+1,IF(OR(الحضور!$AD42="W",الحضور!$AD42="PH"),BS40,0)))</f>
        <v>0</v>
      </c>
      <c r="BU40" s="84">
        <f>IF($B40="",0,IF(الحضور!$AE42="A",BT40+AN40+1,IF(OR(الحضور!$AE42="W",الحضور!$AE42="PH"),BT40,0)))</f>
        <v>0</v>
      </c>
      <c r="BV40" s="84">
        <f>IF($B40="",0,IF(الحضور!$AF42="A",BU40+AO40+1,IF(OR(الحضور!$AF42="W",الحضور!$AF42="PH"),BU40,0)))</f>
        <v>0</v>
      </c>
      <c r="BW40" s="84">
        <f>IF($B40="",0,IF(الحضور!$AG42="A",BV40+AP40+1,IF(OR(الحضور!$AG42="W",الحضور!$AG42="PH"),BV40,0)))</f>
        <v>0</v>
      </c>
      <c r="BX40" s="84">
        <f>IF($B40="",0,IF(الحضور!$AH42="A",BW40+AQ40+1,IF(OR(الحضور!$AH42="W",الحضور!$AH42="PH"),BW40,0)))</f>
        <v>0</v>
      </c>
      <c r="BY40" s="84">
        <f>IF($B40="",0,IF(الحضور!$AI42="A",BX40+AR40+1,IF(OR(الحضور!$AI42="W",الحضور!$AI42="PH"),BX40,0)))</f>
        <v>0</v>
      </c>
      <c r="BZ40" s="84">
        <f>IF($B40="",0,IF(الحضور!$AJ42="A",BY40+AS40+1,IF(OR(الحضور!$AJ42="W",الحضور!$AJ42="PH"),BY40,0)))</f>
        <v>0</v>
      </c>
      <c r="CA40" s="84">
        <f>IF($B40="",0,IF(الحضور!$AK42="A",BZ40+AT40+1,IF(OR(الحضور!$AK42="W",الحضور!$AK42="PH"),BZ40,0)))</f>
        <v>0</v>
      </c>
      <c r="CB40" s="84">
        <f>IF($B40="",0,IF(الحضور!$AL42="A",CA40+AU40+1,IF(OR(الحضور!$AL42="W",الحضور!$AL42="PH"),CA40,0)))</f>
        <v>0</v>
      </c>
      <c r="CC40" s="84">
        <f>IF($B40="",0,IF(الحضور!$AM42="A",CB40+AV40+1,IF(OR(الحضور!$AM42="W",الحضور!$AM42="PH"),CB40,0)))</f>
        <v>0</v>
      </c>
      <c r="CD40" s="84">
        <f>IF($B40="",0,IF(الحضور!$AN42="A",CC40+AW40+1,IF(OR(الحضور!$AN42="W",الحضور!$AN42="PH"),CC40,0)))</f>
        <v>0</v>
      </c>
      <c r="CE40" s="84">
        <f>IF($B40="",0,IF(الحضور!$AO42="A",CD40+AX40+1,IF(OR(الحضور!$AO42="W",الحضور!$AO42="PH"),CD40,0)))</f>
        <v>0</v>
      </c>
      <c r="CF40" s="84">
        <f>IF($B40="",0,IF(الحضور!$AP42="A",CE40+AY40+1,IF(OR(الحضور!$AP42="W",الحضور!$AP42="PH"),CE40,0)))</f>
        <v>0</v>
      </c>
    </row>
    <row r="41" spans="1:84" ht="16.5" customHeight="1" x14ac:dyDescent="0.35">
      <c r="A41" s="18"/>
      <c r="B41" s="62" t="str">
        <f>IF(الموظفون!$B41="","",الموظفون!$B41)</f>
        <v/>
      </c>
      <c r="C41" s="61" t="str">
        <f>IF($B41="","",الموظفون!$C41)</f>
        <v/>
      </c>
      <c r="D41" s="32"/>
      <c r="E41" s="32"/>
      <c r="F41" s="32"/>
      <c r="G41" s="32"/>
      <c r="H41" s="32"/>
      <c r="I41" s="32"/>
      <c r="J41" s="32"/>
      <c r="K41" s="32"/>
      <c r="L41" s="32"/>
      <c r="M41" s="32"/>
      <c r="N41" s="32"/>
      <c r="O41" s="32"/>
      <c r="P41" s="34" t="str">
        <f>IF($B41="","",SUM($D41:$O41)+IF(INDEX($D41:$O41,1,الإعدادات!$C$13)="",$Q41,0))</f>
        <v/>
      </c>
      <c r="Q41" s="51" t="str">
        <f>IF($B41="","",الحضور!$G43)</f>
        <v/>
      </c>
      <c r="R41" s="34" t="str">
        <f t="shared" si="0"/>
        <v/>
      </c>
      <c r="S41" s="32"/>
      <c r="T41" s="61" t="str">
        <f>IF($B41="","",IF(OR($R41&gt;الإعدادات!$C$36,$S41&gt;الإعدادات!$C$36),"تجاوز حد الإنهاء — غياب متصل",IF($P41&gt;الإعدادات!$C$37,"تجاوز حد الإنهاء — غياب متقطع",IF(OR($R41&gt;=الإعدادات!$C$34,$S41&gt;=الإعدادات!$C$34),"إنذار كتابي واجب — غياب متصل",IF($P41&gt;=الإعدادات!$C$35,"إنذار كتابي واجب — غياب متقطع","سليم")))))</f>
        <v/>
      </c>
      <c r="V41" s="84">
        <f>IF($B41="",0,IF(OR(الحضور!$L43="W",الحضور!$L43="PH"),0+1,0))</f>
        <v>0</v>
      </c>
      <c r="W41" s="84">
        <f>IF($B41="",0,IF(OR(الحضور!$M43="W",الحضور!$M43="PH"),V41+1,0))</f>
        <v>0</v>
      </c>
      <c r="X41" s="84">
        <f>IF($B41="",0,IF(OR(الحضور!$N43="W",الحضور!$N43="PH"),W41+1,0))</f>
        <v>0</v>
      </c>
      <c r="Y41" s="84">
        <f>IF($B41="",0,IF(OR(الحضور!$O43="W",الحضور!$O43="PH"),X41+1,0))</f>
        <v>0</v>
      </c>
      <c r="Z41" s="84">
        <f>IF($B41="",0,IF(OR(الحضور!$P43="W",الحضور!$P43="PH"),Y41+1,0))</f>
        <v>0</v>
      </c>
      <c r="AA41" s="84">
        <f>IF($B41="",0,IF(OR(الحضور!$Q43="W",الحضور!$Q43="PH"),Z41+1,0))</f>
        <v>0</v>
      </c>
      <c r="AB41" s="84">
        <f>IF($B41="",0,IF(OR(الحضور!$R43="W",الحضور!$R43="PH"),AA41+1,0))</f>
        <v>0</v>
      </c>
      <c r="AC41" s="84">
        <f>IF($B41="",0,IF(OR(الحضور!$S43="W",الحضور!$S43="PH"),AB41+1,0))</f>
        <v>0</v>
      </c>
      <c r="AD41" s="84">
        <f>IF($B41="",0,IF(OR(الحضور!$T43="W",الحضور!$T43="PH"),AC41+1,0))</f>
        <v>0</v>
      </c>
      <c r="AE41" s="84">
        <f>IF($B41="",0,IF(OR(الحضور!$U43="W",الحضور!$U43="PH"),AD41+1,0))</f>
        <v>0</v>
      </c>
      <c r="AF41" s="84">
        <f>IF($B41="",0,IF(OR(الحضور!$V43="W",الحضور!$V43="PH"),AE41+1,0))</f>
        <v>0</v>
      </c>
      <c r="AG41" s="84">
        <f>IF($B41="",0,IF(OR(الحضور!$W43="W",الحضور!$W43="PH"),AF41+1,0))</f>
        <v>0</v>
      </c>
      <c r="AH41" s="84">
        <f>IF($B41="",0,IF(OR(الحضور!$X43="W",الحضور!$X43="PH"),AG41+1,0))</f>
        <v>0</v>
      </c>
      <c r="AI41" s="84">
        <f>IF($B41="",0,IF(OR(الحضور!$Y43="W",الحضور!$Y43="PH"),AH41+1,0))</f>
        <v>0</v>
      </c>
      <c r="AJ41" s="84">
        <f>IF($B41="",0,IF(OR(الحضور!$Z43="W",الحضور!$Z43="PH"),AI41+1,0))</f>
        <v>0</v>
      </c>
      <c r="AK41" s="84">
        <f>IF($B41="",0,IF(OR(الحضور!$AA43="W",الحضور!$AA43="PH"),AJ41+1,0))</f>
        <v>0</v>
      </c>
      <c r="AL41" s="84">
        <f>IF($B41="",0,IF(OR(الحضور!$AB43="W",الحضور!$AB43="PH"),AK41+1,0))</f>
        <v>0</v>
      </c>
      <c r="AM41" s="84">
        <f>IF($B41="",0,IF(OR(الحضور!$AC43="W",الحضور!$AC43="PH"),AL41+1,0))</f>
        <v>0</v>
      </c>
      <c r="AN41" s="84">
        <f>IF($B41="",0,IF(OR(الحضور!$AD43="W",الحضور!$AD43="PH"),AM41+1,0))</f>
        <v>0</v>
      </c>
      <c r="AO41" s="84">
        <f>IF($B41="",0,IF(OR(الحضور!$AE43="W",الحضور!$AE43="PH"),AN41+1,0))</f>
        <v>0</v>
      </c>
      <c r="AP41" s="84">
        <f>IF($B41="",0,IF(OR(الحضور!$AF43="W",الحضور!$AF43="PH"),AO41+1,0))</f>
        <v>0</v>
      </c>
      <c r="AQ41" s="84">
        <f>IF($B41="",0,IF(OR(الحضور!$AG43="W",الحضور!$AG43="PH"),AP41+1,0))</f>
        <v>0</v>
      </c>
      <c r="AR41" s="84">
        <f>IF($B41="",0,IF(OR(الحضور!$AH43="W",الحضور!$AH43="PH"),AQ41+1,0))</f>
        <v>0</v>
      </c>
      <c r="AS41" s="84">
        <f>IF($B41="",0,IF(OR(الحضور!$AI43="W",الحضور!$AI43="PH"),AR41+1,0))</f>
        <v>0</v>
      </c>
      <c r="AT41" s="84">
        <f>IF($B41="",0,IF(OR(الحضور!$AJ43="W",الحضور!$AJ43="PH"),AS41+1,0))</f>
        <v>0</v>
      </c>
      <c r="AU41" s="84">
        <f>IF($B41="",0,IF(OR(الحضور!$AK43="W",الحضور!$AK43="PH"),AT41+1,0))</f>
        <v>0</v>
      </c>
      <c r="AV41" s="84">
        <f>IF($B41="",0,IF(OR(الحضور!$AL43="W",الحضور!$AL43="PH"),AU41+1,0))</f>
        <v>0</v>
      </c>
      <c r="AW41" s="84">
        <f>IF($B41="",0,IF(OR(الحضور!$AM43="W",الحضور!$AM43="PH"),AV41+1,0))</f>
        <v>0</v>
      </c>
      <c r="AX41" s="84">
        <f>IF($B41="",0,IF(OR(الحضور!$AN43="W",الحضور!$AN43="PH"),AW41+1,0))</f>
        <v>0</v>
      </c>
      <c r="AY41" s="84">
        <f>IF($B41="",0,IF(OR(الحضور!$AO43="W",الحضور!$AO43="PH"),AX41+1,0))</f>
        <v>0</v>
      </c>
      <c r="AZ41" s="84">
        <f>IF($B41="",0,IF(OR(الحضور!$AP43="W",الحضور!$AP43="PH"),AY41+1,0))</f>
        <v>0</v>
      </c>
      <c r="BB41" s="84">
        <f>IF($B41="",0,IF(الحضور!$L43="A",0+0+1,IF(OR(الحضور!$L43="W",الحضور!$L43="PH"),0,0)))</f>
        <v>0</v>
      </c>
      <c r="BC41" s="84">
        <f>IF($B41="",0,IF(الحضور!$M43="A",BB41+V41+1,IF(OR(الحضور!$M43="W",الحضور!$M43="PH"),BB41,0)))</f>
        <v>0</v>
      </c>
      <c r="BD41" s="84">
        <f>IF($B41="",0,IF(الحضور!$N43="A",BC41+W41+1,IF(OR(الحضور!$N43="W",الحضور!$N43="PH"),BC41,0)))</f>
        <v>0</v>
      </c>
      <c r="BE41" s="84">
        <f>IF($B41="",0,IF(الحضور!$O43="A",BD41+X41+1,IF(OR(الحضور!$O43="W",الحضور!$O43="PH"),BD41,0)))</f>
        <v>0</v>
      </c>
      <c r="BF41" s="84">
        <f>IF($B41="",0,IF(الحضور!$P43="A",BE41+Y41+1,IF(OR(الحضور!$P43="W",الحضور!$P43="PH"),BE41,0)))</f>
        <v>0</v>
      </c>
      <c r="BG41" s="84">
        <f>IF($B41="",0,IF(الحضور!$Q43="A",BF41+Z41+1,IF(OR(الحضور!$Q43="W",الحضور!$Q43="PH"),BF41,0)))</f>
        <v>0</v>
      </c>
      <c r="BH41" s="84">
        <f>IF($B41="",0,IF(الحضور!$R43="A",BG41+AA41+1,IF(OR(الحضور!$R43="W",الحضور!$R43="PH"),BG41,0)))</f>
        <v>0</v>
      </c>
      <c r="BI41" s="84">
        <f>IF($B41="",0,IF(الحضور!$S43="A",BH41+AB41+1,IF(OR(الحضور!$S43="W",الحضور!$S43="PH"),BH41,0)))</f>
        <v>0</v>
      </c>
      <c r="BJ41" s="84">
        <f>IF($B41="",0,IF(الحضور!$T43="A",BI41+AC41+1,IF(OR(الحضور!$T43="W",الحضور!$T43="PH"),BI41,0)))</f>
        <v>0</v>
      </c>
      <c r="BK41" s="84">
        <f>IF($B41="",0,IF(الحضور!$U43="A",BJ41+AD41+1,IF(OR(الحضور!$U43="W",الحضور!$U43="PH"),BJ41,0)))</f>
        <v>0</v>
      </c>
      <c r="BL41" s="84">
        <f>IF($B41="",0,IF(الحضور!$V43="A",BK41+AE41+1,IF(OR(الحضور!$V43="W",الحضور!$V43="PH"),BK41,0)))</f>
        <v>0</v>
      </c>
      <c r="BM41" s="84">
        <f>IF($B41="",0,IF(الحضور!$W43="A",BL41+AF41+1,IF(OR(الحضور!$W43="W",الحضور!$W43="PH"),BL41,0)))</f>
        <v>0</v>
      </c>
      <c r="BN41" s="84">
        <f>IF($B41="",0,IF(الحضور!$X43="A",BM41+AG41+1,IF(OR(الحضور!$X43="W",الحضور!$X43="PH"),BM41,0)))</f>
        <v>0</v>
      </c>
      <c r="BO41" s="84">
        <f>IF($B41="",0,IF(الحضور!$Y43="A",BN41+AH41+1,IF(OR(الحضور!$Y43="W",الحضور!$Y43="PH"),BN41,0)))</f>
        <v>0</v>
      </c>
      <c r="BP41" s="84">
        <f>IF($B41="",0,IF(الحضور!$Z43="A",BO41+AI41+1,IF(OR(الحضور!$Z43="W",الحضور!$Z43="PH"),BO41,0)))</f>
        <v>0</v>
      </c>
      <c r="BQ41" s="84">
        <f>IF($B41="",0,IF(الحضور!$AA43="A",BP41+AJ41+1,IF(OR(الحضور!$AA43="W",الحضور!$AA43="PH"),BP41,0)))</f>
        <v>0</v>
      </c>
      <c r="BR41" s="84">
        <f>IF($B41="",0,IF(الحضور!$AB43="A",BQ41+AK41+1,IF(OR(الحضور!$AB43="W",الحضور!$AB43="PH"),BQ41,0)))</f>
        <v>0</v>
      </c>
      <c r="BS41" s="84">
        <f>IF($B41="",0,IF(الحضور!$AC43="A",BR41+AL41+1,IF(OR(الحضور!$AC43="W",الحضور!$AC43="PH"),BR41,0)))</f>
        <v>0</v>
      </c>
      <c r="BT41" s="84">
        <f>IF($B41="",0,IF(الحضور!$AD43="A",BS41+AM41+1,IF(OR(الحضور!$AD43="W",الحضور!$AD43="PH"),BS41,0)))</f>
        <v>0</v>
      </c>
      <c r="BU41" s="84">
        <f>IF($B41="",0,IF(الحضور!$AE43="A",BT41+AN41+1,IF(OR(الحضور!$AE43="W",الحضور!$AE43="PH"),BT41,0)))</f>
        <v>0</v>
      </c>
      <c r="BV41" s="84">
        <f>IF($B41="",0,IF(الحضور!$AF43="A",BU41+AO41+1,IF(OR(الحضور!$AF43="W",الحضور!$AF43="PH"),BU41,0)))</f>
        <v>0</v>
      </c>
      <c r="BW41" s="84">
        <f>IF($B41="",0,IF(الحضور!$AG43="A",BV41+AP41+1,IF(OR(الحضور!$AG43="W",الحضور!$AG43="PH"),BV41,0)))</f>
        <v>0</v>
      </c>
      <c r="BX41" s="84">
        <f>IF($B41="",0,IF(الحضور!$AH43="A",BW41+AQ41+1,IF(OR(الحضور!$AH43="W",الحضور!$AH43="PH"),BW41,0)))</f>
        <v>0</v>
      </c>
      <c r="BY41" s="84">
        <f>IF($B41="",0,IF(الحضور!$AI43="A",BX41+AR41+1,IF(OR(الحضور!$AI43="W",الحضور!$AI43="PH"),BX41,0)))</f>
        <v>0</v>
      </c>
      <c r="BZ41" s="84">
        <f>IF($B41="",0,IF(الحضور!$AJ43="A",BY41+AS41+1,IF(OR(الحضور!$AJ43="W",الحضور!$AJ43="PH"),BY41,0)))</f>
        <v>0</v>
      </c>
      <c r="CA41" s="84">
        <f>IF($B41="",0,IF(الحضور!$AK43="A",BZ41+AT41+1,IF(OR(الحضور!$AK43="W",الحضور!$AK43="PH"),BZ41,0)))</f>
        <v>0</v>
      </c>
      <c r="CB41" s="84">
        <f>IF($B41="",0,IF(الحضور!$AL43="A",CA41+AU41+1,IF(OR(الحضور!$AL43="W",الحضور!$AL43="PH"),CA41,0)))</f>
        <v>0</v>
      </c>
      <c r="CC41" s="84">
        <f>IF($B41="",0,IF(الحضور!$AM43="A",CB41+AV41+1,IF(OR(الحضور!$AM43="W",الحضور!$AM43="PH"),CB41,0)))</f>
        <v>0</v>
      </c>
      <c r="CD41" s="84">
        <f>IF($B41="",0,IF(الحضور!$AN43="A",CC41+AW41+1,IF(OR(الحضور!$AN43="W",الحضور!$AN43="PH"),CC41,0)))</f>
        <v>0</v>
      </c>
      <c r="CE41" s="84">
        <f>IF($B41="",0,IF(الحضور!$AO43="A",CD41+AX41+1,IF(OR(الحضور!$AO43="W",الحضور!$AO43="PH"),CD41,0)))</f>
        <v>0</v>
      </c>
      <c r="CF41" s="84">
        <f>IF($B41="",0,IF(الحضور!$AP43="A",CE41+AY41+1,IF(OR(الحضور!$AP43="W",الحضور!$AP43="PH"),CE41,0)))</f>
        <v>0</v>
      </c>
    </row>
    <row r="42" spans="1:84" ht="16.5" customHeight="1" x14ac:dyDescent="0.35">
      <c r="A42" s="18"/>
      <c r="B42" s="62" t="str">
        <f>IF(الموظفون!$B42="","",الموظفون!$B42)</f>
        <v/>
      </c>
      <c r="C42" s="61" t="str">
        <f>IF($B42="","",الموظفون!$C42)</f>
        <v/>
      </c>
      <c r="D42" s="32"/>
      <c r="E42" s="32"/>
      <c r="F42" s="32"/>
      <c r="G42" s="32"/>
      <c r="H42" s="32"/>
      <c r="I42" s="32"/>
      <c r="J42" s="32"/>
      <c r="K42" s="32"/>
      <c r="L42" s="32"/>
      <c r="M42" s="32"/>
      <c r="N42" s="32"/>
      <c r="O42" s="32"/>
      <c r="P42" s="34" t="str">
        <f>IF($B42="","",SUM($D42:$O42)+IF(INDEX($D42:$O42,1,الإعدادات!$C$13)="",$Q42,0))</f>
        <v/>
      </c>
      <c r="Q42" s="51" t="str">
        <f>IF($B42="","",الحضور!$G44)</f>
        <v/>
      </c>
      <c r="R42" s="34" t="str">
        <f t="shared" si="0"/>
        <v/>
      </c>
      <c r="S42" s="32"/>
      <c r="T42" s="61" t="str">
        <f>IF($B42="","",IF(OR($R42&gt;الإعدادات!$C$36,$S42&gt;الإعدادات!$C$36),"تجاوز حد الإنهاء — غياب متصل",IF($P42&gt;الإعدادات!$C$37,"تجاوز حد الإنهاء — غياب متقطع",IF(OR($R42&gt;=الإعدادات!$C$34,$S42&gt;=الإعدادات!$C$34),"إنذار كتابي واجب — غياب متصل",IF($P42&gt;=الإعدادات!$C$35,"إنذار كتابي واجب — غياب متقطع","سليم")))))</f>
        <v/>
      </c>
      <c r="V42" s="84">
        <f>IF($B42="",0,IF(OR(الحضور!$L44="W",الحضور!$L44="PH"),0+1,0))</f>
        <v>0</v>
      </c>
      <c r="W42" s="84">
        <f>IF($B42="",0,IF(OR(الحضور!$M44="W",الحضور!$M44="PH"),V42+1,0))</f>
        <v>0</v>
      </c>
      <c r="X42" s="84">
        <f>IF($B42="",0,IF(OR(الحضور!$N44="W",الحضور!$N44="PH"),W42+1,0))</f>
        <v>0</v>
      </c>
      <c r="Y42" s="84">
        <f>IF($B42="",0,IF(OR(الحضور!$O44="W",الحضور!$O44="PH"),X42+1,0))</f>
        <v>0</v>
      </c>
      <c r="Z42" s="84">
        <f>IF($B42="",0,IF(OR(الحضور!$P44="W",الحضور!$P44="PH"),Y42+1,0))</f>
        <v>0</v>
      </c>
      <c r="AA42" s="84">
        <f>IF($B42="",0,IF(OR(الحضور!$Q44="W",الحضور!$Q44="PH"),Z42+1,0))</f>
        <v>0</v>
      </c>
      <c r="AB42" s="84">
        <f>IF($B42="",0,IF(OR(الحضور!$R44="W",الحضور!$R44="PH"),AA42+1,0))</f>
        <v>0</v>
      </c>
      <c r="AC42" s="84">
        <f>IF($B42="",0,IF(OR(الحضور!$S44="W",الحضور!$S44="PH"),AB42+1,0))</f>
        <v>0</v>
      </c>
      <c r="AD42" s="84">
        <f>IF($B42="",0,IF(OR(الحضور!$T44="W",الحضور!$T44="PH"),AC42+1,0))</f>
        <v>0</v>
      </c>
      <c r="AE42" s="84">
        <f>IF($B42="",0,IF(OR(الحضور!$U44="W",الحضور!$U44="PH"),AD42+1,0))</f>
        <v>0</v>
      </c>
      <c r="AF42" s="84">
        <f>IF($B42="",0,IF(OR(الحضور!$V44="W",الحضور!$V44="PH"),AE42+1,0))</f>
        <v>0</v>
      </c>
      <c r="AG42" s="84">
        <f>IF($B42="",0,IF(OR(الحضور!$W44="W",الحضور!$W44="PH"),AF42+1,0))</f>
        <v>0</v>
      </c>
      <c r="AH42" s="84">
        <f>IF($B42="",0,IF(OR(الحضور!$X44="W",الحضور!$X44="PH"),AG42+1,0))</f>
        <v>0</v>
      </c>
      <c r="AI42" s="84">
        <f>IF($B42="",0,IF(OR(الحضور!$Y44="W",الحضور!$Y44="PH"),AH42+1,0))</f>
        <v>0</v>
      </c>
      <c r="AJ42" s="84">
        <f>IF($B42="",0,IF(OR(الحضور!$Z44="W",الحضور!$Z44="PH"),AI42+1,0))</f>
        <v>0</v>
      </c>
      <c r="AK42" s="84">
        <f>IF($B42="",0,IF(OR(الحضور!$AA44="W",الحضور!$AA44="PH"),AJ42+1,0))</f>
        <v>0</v>
      </c>
      <c r="AL42" s="84">
        <f>IF($B42="",0,IF(OR(الحضور!$AB44="W",الحضور!$AB44="PH"),AK42+1,0))</f>
        <v>0</v>
      </c>
      <c r="AM42" s="84">
        <f>IF($B42="",0,IF(OR(الحضور!$AC44="W",الحضور!$AC44="PH"),AL42+1,0))</f>
        <v>0</v>
      </c>
      <c r="AN42" s="84">
        <f>IF($B42="",0,IF(OR(الحضور!$AD44="W",الحضور!$AD44="PH"),AM42+1,0))</f>
        <v>0</v>
      </c>
      <c r="AO42" s="84">
        <f>IF($B42="",0,IF(OR(الحضور!$AE44="W",الحضور!$AE44="PH"),AN42+1,0))</f>
        <v>0</v>
      </c>
      <c r="AP42" s="84">
        <f>IF($B42="",0,IF(OR(الحضور!$AF44="W",الحضور!$AF44="PH"),AO42+1,0))</f>
        <v>0</v>
      </c>
      <c r="AQ42" s="84">
        <f>IF($B42="",0,IF(OR(الحضور!$AG44="W",الحضور!$AG44="PH"),AP42+1,0))</f>
        <v>0</v>
      </c>
      <c r="AR42" s="84">
        <f>IF($B42="",0,IF(OR(الحضور!$AH44="W",الحضور!$AH44="PH"),AQ42+1,0))</f>
        <v>0</v>
      </c>
      <c r="AS42" s="84">
        <f>IF($B42="",0,IF(OR(الحضور!$AI44="W",الحضور!$AI44="PH"),AR42+1,0))</f>
        <v>0</v>
      </c>
      <c r="AT42" s="84">
        <f>IF($B42="",0,IF(OR(الحضور!$AJ44="W",الحضور!$AJ44="PH"),AS42+1,0))</f>
        <v>0</v>
      </c>
      <c r="AU42" s="84">
        <f>IF($B42="",0,IF(OR(الحضور!$AK44="W",الحضور!$AK44="PH"),AT42+1,0))</f>
        <v>0</v>
      </c>
      <c r="AV42" s="84">
        <f>IF($B42="",0,IF(OR(الحضور!$AL44="W",الحضور!$AL44="PH"),AU42+1,0))</f>
        <v>0</v>
      </c>
      <c r="AW42" s="84">
        <f>IF($B42="",0,IF(OR(الحضور!$AM44="W",الحضور!$AM44="PH"),AV42+1,0))</f>
        <v>0</v>
      </c>
      <c r="AX42" s="84">
        <f>IF($B42="",0,IF(OR(الحضور!$AN44="W",الحضور!$AN44="PH"),AW42+1,0))</f>
        <v>0</v>
      </c>
      <c r="AY42" s="84">
        <f>IF($B42="",0,IF(OR(الحضور!$AO44="W",الحضور!$AO44="PH"),AX42+1,0))</f>
        <v>0</v>
      </c>
      <c r="AZ42" s="84">
        <f>IF($B42="",0,IF(OR(الحضور!$AP44="W",الحضور!$AP44="PH"),AY42+1,0))</f>
        <v>0</v>
      </c>
      <c r="BB42" s="84">
        <f>IF($B42="",0,IF(الحضور!$L44="A",0+0+1,IF(OR(الحضور!$L44="W",الحضور!$L44="PH"),0,0)))</f>
        <v>0</v>
      </c>
      <c r="BC42" s="84">
        <f>IF($B42="",0,IF(الحضور!$M44="A",BB42+V42+1,IF(OR(الحضور!$M44="W",الحضور!$M44="PH"),BB42,0)))</f>
        <v>0</v>
      </c>
      <c r="BD42" s="84">
        <f>IF($B42="",0,IF(الحضور!$N44="A",BC42+W42+1,IF(OR(الحضور!$N44="W",الحضور!$N44="PH"),BC42,0)))</f>
        <v>0</v>
      </c>
      <c r="BE42" s="84">
        <f>IF($B42="",0,IF(الحضور!$O44="A",BD42+X42+1,IF(OR(الحضور!$O44="W",الحضور!$O44="PH"),BD42,0)))</f>
        <v>0</v>
      </c>
      <c r="BF42" s="84">
        <f>IF($B42="",0,IF(الحضور!$P44="A",BE42+Y42+1,IF(OR(الحضور!$P44="W",الحضور!$P44="PH"),BE42,0)))</f>
        <v>0</v>
      </c>
      <c r="BG42" s="84">
        <f>IF($B42="",0,IF(الحضور!$Q44="A",BF42+Z42+1,IF(OR(الحضور!$Q44="W",الحضور!$Q44="PH"),BF42,0)))</f>
        <v>0</v>
      </c>
      <c r="BH42" s="84">
        <f>IF($B42="",0,IF(الحضور!$R44="A",BG42+AA42+1,IF(OR(الحضور!$R44="W",الحضور!$R44="PH"),BG42,0)))</f>
        <v>0</v>
      </c>
      <c r="BI42" s="84">
        <f>IF($B42="",0,IF(الحضور!$S44="A",BH42+AB42+1,IF(OR(الحضور!$S44="W",الحضور!$S44="PH"),BH42,0)))</f>
        <v>0</v>
      </c>
      <c r="BJ42" s="84">
        <f>IF($B42="",0,IF(الحضور!$T44="A",BI42+AC42+1,IF(OR(الحضور!$T44="W",الحضور!$T44="PH"),BI42,0)))</f>
        <v>0</v>
      </c>
      <c r="BK42" s="84">
        <f>IF($B42="",0,IF(الحضور!$U44="A",BJ42+AD42+1,IF(OR(الحضور!$U44="W",الحضور!$U44="PH"),BJ42,0)))</f>
        <v>0</v>
      </c>
      <c r="BL42" s="84">
        <f>IF($B42="",0,IF(الحضور!$V44="A",BK42+AE42+1,IF(OR(الحضور!$V44="W",الحضور!$V44="PH"),BK42,0)))</f>
        <v>0</v>
      </c>
      <c r="BM42" s="84">
        <f>IF($B42="",0,IF(الحضور!$W44="A",BL42+AF42+1,IF(OR(الحضور!$W44="W",الحضور!$W44="PH"),BL42,0)))</f>
        <v>0</v>
      </c>
      <c r="BN42" s="84">
        <f>IF($B42="",0,IF(الحضور!$X44="A",BM42+AG42+1,IF(OR(الحضور!$X44="W",الحضور!$X44="PH"),BM42,0)))</f>
        <v>0</v>
      </c>
      <c r="BO42" s="84">
        <f>IF($B42="",0,IF(الحضور!$Y44="A",BN42+AH42+1,IF(OR(الحضور!$Y44="W",الحضور!$Y44="PH"),BN42,0)))</f>
        <v>0</v>
      </c>
      <c r="BP42" s="84">
        <f>IF($B42="",0,IF(الحضور!$Z44="A",BO42+AI42+1,IF(OR(الحضور!$Z44="W",الحضور!$Z44="PH"),BO42,0)))</f>
        <v>0</v>
      </c>
      <c r="BQ42" s="84">
        <f>IF($B42="",0,IF(الحضور!$AA44="A",BP42+AJ42+1,IF(OR(الحضور!$AA44="W",الحضور!$AA44="PH"),BP42,0)))</f>
        <v>0</v>
      </c>
      <c r="BR42" s="84">
        <f>IF($B42="",0,IF(الحضور!$AB44="A",BQ42+AK42+1,IF(OR(الحضور!$AB44="W",الحضور!$AB44="PH"),BQ42,0)))</f>
        <v>0</v>
      </c>
      <c r="BS42" s="84">
        <f>IF($B42="",0,IF(الحضور!$AC44="A",BR42+AL42+1,IF(OR(الحضور!$AC44="W",الحضور!$AC44="PH"),BR42,0)))</f>
        <v>0</v>
      </c>
      <c r="BT42" s="84">
        <f>IF($B42="",0,IF(الحضور!$AD44="A",BS42+AM42+1,IF(OR(الحضور!$AD44="W",الحضور!$AD44="PH"),BS42,0)))</f>
        <v>0</v>
      </c>
      <c r="BU42" s="84">
        <f>IF($B42="",0,IF(الحضور!$AE44="A",BT42+AN42+1,IF(OR(الحضور!$AE44="W",الحضور!$AE44="PH"),BT42,0)))</f>
        <v>0</v>
      </c>
      <c r="BV42" s="84">
        <f>IF($B42="",0,IF(الحضور!$AF44="A",BU42+AO42+1,IF(OR(الحضور!$AF44="W",الحضور!$AF44="PH"),BU42,0)))</f>
        <v>0</v>
      </c>
      <c r="BW42" s="84">
        <f>IF($B42="",0,IF(الحضور!$AG44="A",BV42+AP42+1,IF(OR(الحضور!$AG44="W",الحضور!$AG44="PH"),BV42,0)))</f>
        <v>0</v>
      </c>
      <c r="BX42" s="84">
        <f>IF($B42="",0,IF(الحضور!$AH44="A",BW42+AQ42+1,IF(OR(الحضور!$AH44="W",الحضور!$AH44="PH"),BW42,0)))</f>
        <v>0</v>
      </c>
      <c r="BY42" s="84">
        <f>IF($B42="",0,IF(الحضور!$AI44="A",BX42+AR42+1,IF(OR(الحضور!$AI44="W",الحضور!$AI44="PH"),BX42,0)))</f>
        <v>0</v>
      </c>
      <c r="BZ42" s="84">
        <f>IF($B42="",0,IF(الحضور!$AJ44="A",BY42+AS42+1,IF(OR(الحضور!$AJ44="W",الحضور!$AJ44="PH"),BY42,0)))</f>
        <v>0</v>
      </c>
      <c r="CA42" s="84">
        <f>IF($B42="",0,IF(الحضور!$AK44="A",BZ42+AT42+1,IF(OR(الحضور!$AK44="W",الحضور!$AK44="PH"),BZ42,0)))</f>
        <v>0</v>
      </c>
      <c r="CB42" s="84">
        <f>IF($B42="",0,IF(الحضور!$AL44="A",CA42+AU42+1,IF(OR(الحضور!$AL44="W",الحضور!$AL44="PH"),CA42,0)))</f>
        <v>0</v>
      </c>
      <c r="CC42" s="84">
        <f>IF($B42="",0,IF(الحضور!$AM44="A",CB42+AV42+1,IF(OR(الحضور!$AM44="W",الحضور!$AM44="PH"),CB42,0)))</f>
        <v>0</v>
      </c>
      <c r="CD42" s="84">
        <f>IF($B42="",0,IF(الحضور!$AN44="A",CC42+AW42+1,IF(OR(الحضور!$AN44="W",الحضور!$AN44="PH"),CC42,0)))</f>
        <v>0</v>
      </c>
      <c r="CE42" s="84">
        <f>IF($B42="",0,IF(الحضور!$AO44="A",CD42+AX42+1,IF(OR(الحضور!$AO44="W",الحضور!$AO44="PH"),CD42,0)))</f>
        <v>0</v>
      </c>
      <c r="CF42" s="84">
        <f>IF($B42="",0,IF(الحضور!$AP44="A",CE42+AY42+1,IF(OR(الحضور!$AP44="W",الحضور!$AP44="PH"),CE42,0)))</f>
        <v>0</v>
      </c>
    </row>
    <row r="43" spans="1:84" ht="16.5" customHeight="1" x14ac:dyDescent="0.35">
      <c r="A43" s="18"/>
      <c r="B43" s="62" t="str">
        <f>IF(الموظفون!$B43="","",الموظفون!$B43)</f>
        <v/>
      </c>
      <c r="C43" s="61" t="str">
        <f>IF($B43="","",الموظفون!$C43)</f>
        <v/>
      </c>
      <c r="D43" s="32"/>
      <c r="E43" s="32"/>
      <c r="F43" s="32"/>
      <c r="G43" s="32"/>
      <c r="H43" s="32"/>
      <c r="I43" s="32"/>
      <c r="J43" s="32"/>
      <c r="K43" s="32"/>
      <c r="L43" s="32"/>
      <c r="M43" s="32"/>
      <c r="N43" s="32"/>
      <c r="O43" s="32"/>
      <c r="P43" s="34" t="str">
        <f>IF($B43="","",SUM($D43:$O43)+IF(INDEX($D43:$O43,1,الإعدادات!$C$13)="",$Q43,0))</f>
        <v/>
      </c>
      <c r="Q43" s="51" t="str">
        <f>IF($B43="","",الحضور!$G45)</f>
        <v/>
      </c>
      <c r="R43" s="34" t="str">
        <f t="shared" si="0"/>
        <v/>
      </c>
      <c r="S43" s="32"/>
      <c r="T43" s="61" t="str">
        <f>IF($B43="","",IF(OR($R43&gt;الإعدادات!$C$36,$S43&gt;الإعدادات!$C$36),"تجاوز حد الإنهاء — غياب متصل",IF($P43&gt;الإعدادات!$C$37,"تجاوز حد الإنهاء — غياب متقطع",IF(OR($R43&gt;=الإعدادات!$C$34,$S43&gt;=الإعدادات!$C$34),"إنذار كتابي واجب — غياب متصل",IF($P43&gt;=الإعدادات!$C$35,"إنذار كتابي واجب — غياب متقطع","سليم")))))</f>
        <v/>
      </c>
      <c r="V43" s="84">
        <f>IF($B43="",0,IF(OR(الحضور!$L45="W",الحضور!$L45="PH"),0+1,0))</f>
        <v>0</v>
      </c>
      <c r="W43" s="84">
        <f>IF($B43="",0,IF(OR(الحضور!$M45="W",الحضور!$M45="PH"),V43+1,0))</f>
        <v>0</v>
      </c>
      <c r="X43" s="84">
        <f>IF($B43="",0,IF(OR(الحضور!$N45="W",الحضور!$N45="PH"),W43+1,0))</f>
        <v>0</v>
      </c>
      <c r="Y43" s="84">
        <f>IF($B43="",0,IF(OR(الحضور!$O45="W",الحضور!$O45="PH"),X43+1,0))</f>
        <v>0</v>
      </c>
      <c r="Z43" s="84">
        <f>IF($B43="",0,IF(OR(الحضور!$P45="W",الحضور!$P45="PH"),Y43+1,0))</f>
        <v>0</v>
      </c>
      <c r="AA43" s="84">
        <f>IF($B43="",0,IF(OR(الحضور!$Q45="W",الحضور!$Q45="PH"),Z43+1,0))</f>
        <v>0</v>
      </c>
      <c r="AB43" s="84">
        <f>IF($B43="",0,IF(OR(الحضور!$R45="W",الحضور!$R45="PH"),AA43+1,0))</f>
        <v>0</v>
      </c>
      <c r="AC43" s="84">
        <f>IF($B43="",0,IF(OR(الحضور!$S45="W",الحضور!$S45="PH"),AB43+1,0))</f>
        <v>0</v>
      </c>
      <c r="AD43" s="84">
        <f>IF($B43="",0,IF(OR(الحضور!$T45="W",الحضور!$T45="PH"),AC43+1,0))</f>
        <v>0</v>
      </c>
      <c r="AE43" s="84">
        <f>IF($B43="",0,IF(OR(الحضور!$U45="W",الحضور!$U45="PH"),AD43+1,0))</f>
        <v>0</v>
      </c>
      <c r="AF43" s="84">
        <f>IF($B43="",0,IF(OR(الحضور!$V45="W",الحضور!$V45="PH"),AE43+1,0))</f>
        <v>0</v>
      </c>
      <c r="AG43" s="84">
        <f>IF($B43="",0,IF(OR(الحضور!$W45="W",الحضور!$W45="PH"),AF43+1,0))</f>
        <v>0</v>
      </c>
      <c r="AH43" s="84">
        <f>IF($B43="",0,IF(OR(الحضور!$X45="W",الحضور!$X45="PH"),AG43+1,0))</f>
        <v>0</v>
      </c>
      <c r="AI43" s="84">
        <f>IF($B43="",0,IF(OR(الحضور!$Y45="W",الحضور!$Y45="PH"),AH43+1,0))</f>
        <v>0</v>
      </c>
      <c r="AJ43" s="84">
        <f>IF($B43="",0,IF(OR(الحضور!$Z45="W",الحضور!$Z45="PH"),AI43+1,0))</f>
        <v>0</v>
      </c>
      <c r="AK43" s="84">
        <f>IF($B43="",0,IF(OR(الحضور!$AA45="W",الحضور!$AA45="PH"),AJ43+1,0))</f>
        <v>0</v>
      </c>
      <c r="AL43" s="84">
        <f>IF($B43="",0,IF(OR(الحضور!$AB45="W",الحضور!$AB45="PH"),AK43+1,0))</f>
        <v>0</v>
      </c>
      <c r="AM43" s="84">
        <f>IF($B43="",0,IF(OR(الحضور!$AC45="W",الحضور!$AC45="PH"),AL43+1,0))</f>
        <v>0</v>
      </c>
      <c r="AN43" s="84">
        <f>IF($B43="",0,IF(OR(الحضور!$AD45="W",الحضور!$AD45="PH"),AM43+1,0))</f>
        <v>0</v>
      </c>
      <c r="AO43" s="84">
        <f>IF($B43="",0,IF(OR(الحضور!$AE45="W",الحضور!$AE45="PH"),AN43+1,0))</f>
        <v>0</v>
      </c>
      <c r="AP43" s="84">
        <f>IF($B43="",0,IF(OR(الحضور!$AF45="W",الحضور!$AF45="PH"),AO43+1,0))</f>
        <v>0</v>
      </c>
      <c r="AQ43" s="84">
        <f>IF($B43="",0,IF(OR(الحضور!$AG45="W",الحضور!$AG45="PH"),AP43+1,0))</f>
        <v>0</v>
      </c>
      <c r="AR43" s="84">
        <f>IF($B43="",0,IF(OR(الحضور!$AH45="W",الحضور!$AH45="PH"),AQ43+1,0))</f>
        <v>0</v>
      </c>
      <c r="AS43" s="84">
        <f>IF($B43="",0,IF(OR(الحضور!$AI45="W",الحضور!$AI45="PH"),AR43+1,0))</f>
        <v>0</v>
      </c>
      <c r="AT43" s="84">
        <f>IF($B43="",0,IF(OR(الحضور!$AJ45="W",الحضور!$AJ45="PH"),AS43+1,0))</f>
        <v>0</v>
      </c>
      <c r="AU43" s="84">
        <f>IF($B43="",0,IF(OR(الحضور!$AK45="W",الحضور!$AK45="PH"),AT43+1,0))</f>
        <v>0</v>
      </c>
      <c r="AV43" s="84">
        <f>IF($B43="",0,IF(OR(الحضور!$AL45="W",الحضور!$AL45="PH"),AU43+1,0))</f>
        <v>0</v>
      </c>
      <c r="AW43" s="84">
        <f>IF($B43="",0,IF(OR(الحضور!$AM45="W",الحضور!$AM45="PH"),AV43+1,0))</f>
        <v>0</v>
      </c>
      <c r="AX43" s="84">
        <f>IF($B43="",0,IF(OR(الحضور!$AN45="W",الحضور!$AN45="PH"),AW43+1,0))</f>
        <v>0</v>
      </c>
      <c r="AY43" s="84">
        <f>IF($B43="",0,IF(OR(الحضور!$AO45="W",الحضور!$AO45="PH"),AX43+1,0))</f>
        <v>0</v>
      </c>
      <c r="AZ43" s="84">
        <f>IF($B43="",0,IF(OR(الحضور!$AP45="W",الحضور!$AP45="PH"),AY43+1,0))</f>
        <v>0</v>
      </c>
      <c r="BB43" s="84">
        <f>IF($B43="",0,IF(الحضور!$L45="A",0+0+1,IF(OR(الحضور!$L45="W",الحضور!$L45="PH"),0,0)))</f>
        <v>0</v>
      </c>
      <c r="BC43" s="84">
        <f>IF($B43="",0,IF(الحضور!$M45="A",BB43+V43+1,IF(OR(الحضور!$M45="W",الحضور!$M45="PH"),BB43,0)))</f>
        <v>0</v>
      </c>
      <c r="BD43" s="84">
        <f>IF($B43="",0,IF(الحضور!$N45="A",BC43+W43+1,IF(OR(الحضور!$N45="W",الحضور!$N45="PH"),BC43,0)))</f>
        <v>0</v>
      </c>
      <c r="BE43" s="84">
        <f>IF($B43="",0,IF(الحضور!$O45="A",BD43+X43+1,IF(OR(الحضور!$O45="W",الحضور!$O45="PH"),BD43,0)))</f>
        <v>0</v>
      </c>
      <c r="BF43" s="84">
        <f>IF($B43="",0,IF(الحضور!$P45="A",BE43+Y43+1,IF(OR(الحضور!$P45="W",الحضور!$P45="PH"),BE43,0)))</f>
        <v>0</v>
      </c>
      <c r="BG43" s="84">
        <f>IF($B43="",0,IF(الحضور!$Q45="A",BF43+Z43+1,IF(OR(الحضور!$Q45="W",الحضور!$Q45="PH"),BF43,0)))</f>
        <v>0</v>
      </c>
      <c r="BH43" s="84">
        <f>IF($B43="",0,IF(الحضور!$R45="A",BG43+AA43+1,IF(OR(الحضور!$R45="W",الحضور!$R45="PH"),BG43,0)))</f>
        <v>0</v>
      </c>
      <c r="BI43" s="84">
        <f>IF($B43="",0,IF(الحضور!$S45="A",BH43+AB43+1,IF(OR(الحضور!$S45="W",الحضور!$S45="PH"),BH43,0)))</f>
        <v>0</v>
      </c>
      <c r="BJ43" s="84">
        <f>IF($B43="",0,IF(الحضور!$T45="A",BI43+AC43+1,IF(OR(الحضور!$T45="W",الحضور!$T45="PH"),BI43,0)))</f>
        <v>0</v>
      </c>
      <c r="BK43" s="84">
        <f>IF($B43="",0,IF(الحضور!$U45="A",BJ43+AD43+1,IF(OR(الحضور!$U45="W",الحضور!$U45="PH"),BJ43,0)))</f>
        <v>0</v>
      </c>
      <c r="BL43" s="84">
        <f>IF($B43="",0,IF(الحضور!$V45="A",BK43+AE43+1,IF(OR(الحضور!$V45="W",الحضور!$V45="PH"),BK43,0)))</f>
        <v>0</v>
      </c>
      <c r="BM43" s="84">
        <f>IF($B43="",0,IF(الحضور!$W45="A",BL43+AF43+1,IF(OR(الحضور!$W45="W",الحضور!$W45="PH"),BL43,0)))</f>
        <v>0</v>
      </c>
      <c r="BN43" s="84">
        <f>IF($B43="",0,IF(الحضور!$X45="A",BM43+AG43+1,IF(OR(الحضور!$X45="W",الحضور!$X45="PH"),BM43,0)))</f>
        <v>0</v>
      </c>
      <c r="BO43" s="84">
        <f>IF($B43="",0,IF(الحضور!$Y45="A",BN43+AH43+1,IF(OR(الحضور!$Y45="W",الحضور!$Y45="PH"),BN43,0)))</f>
        <v>0</v>
      </c>
      <c r="BP43" s="84">
        <f>IF($B43="",0,IF(الحضور!$Z45="A",BO43+AI43+1,IF(OR(الحضور!$Z45="W",الحضور!$Z45="PH"),BO43,0)))</f>
        <v>0</v>
      </c>
      <c r="BQ43" s="84">
        <f>IF($B43="",0,IF(الحضور!$AA45="A",BP43+AJ43+1,IF(OR(الحضور!$AA45="W",الحضور!$AA45="PH"),BP43,0)))</f>
        <v>0</v>
      </c>
      <c r="BR43" s="84">
        <f>IF($B43="",0,IF(الحضور!$AB45="A",BQ43+AK43+1,IF(OR(الحضور!$AB45="W",الحضور!$AB45="PH"),BQ43,0)))</f>
        <v>0</v>
      </c>
      <c r="BS43" s="84">
        <f>IF($B43="",0,IF(الحضور!$AC45="A",BR43+AL43+1,IF(OR(الحضور!$AC45="W",الحضور!$AC45="PH"),BR43,0)))</f>
        <v>0</v>
      </c>
      <c r="BT43" s="84">
        <f>IF($B43="",0,IF(الحضور!$AD45="A",BS43+AM43+1,IF(OR(الحضور!$AD45="W",الحضور!$AD45="PH"),BS43,0)))</f>
        <v>0</v>
      </c>
      <c r="BU43" s="84">
        <f>IF($B43="",0,IF(الحضور!$AE45="A",BT43+AN43+1,IF(OR(الحضور!$AE45="W",الحضور!$AE45="PH"),BT43,0)))</f>
        <v>0</v>
      </c>
      <c r="BV43" s="84">
        <f>IF($B43="",0,IF(الحضور!$AF45="A",BU43+AO43+1,IF(OR(الحضور!$AF45="W",الحضور!$AF45="PH"),BU43,0)))</f>
        <v>0</v>
      </c>
      <c r="BW43" s="84">
        <f>IF($B43="",0,IF(الحضور!$AG45="A",BV43+AP43+1,IF(OR(الحضور!$AG45="W",الحضور!$AG45="PH"),BV43,0)))</f>
        <v>0</v>
      </c>
      <c r="BX43" s="84">
        <f>IF($B43="",0,IF(الحضور!$AH45="A",BW43+AQ43+1,IF(OR(الحضور!$AH45="W",الحضور!$AH45="PH"),BW43,0)))</f>
        <v>0</v>
      </c>
      <c r="BY43" s="84">
        <f>IF($B43="",0,IF(الحضور!$AI45="A",BX43+AR43+1,IF(OR(الحضور!$AI45="W",الحضور!$AI45="PH"),BX43,0)))</f>
        <v>0</v>
      </c>
      <c r="BZ43" s="84">
        <f>IF($B43="",0,IF(الحضور!$AJ45="A",BY43+AS43+1,IF(OR(الحضور!$AJ45="W",الحضور!$AJ45="PH"),BY43,0)))</f>
        <v>0</v>
      </c>
      <c r="CA43" s="84">
        <f>IF($B43="",0,IF(الحضور!$AK45="A",BZ43+AT43+1,IF(OR(الحضور!$AK45="W",الحضور!$AK45="PH"),BZ43,0)))</f>
        <v>0</v>
      </c>
      <c r="CB43" s="84">
        <f>IF($B43="",0,IF(الحضور!$AL45="A",CA43+AU43+1,IF(OR(الحضور!$AL45="W",الحضور!$AL45="PH"),CA43,0)))</f>
        <v>0</v>
      </c>
      <c r="CC43" s="84">
        <f>IF($B43="",0,IF(الحضور!$AM45="A",CB43+AV43+1,IF(OR(الحضور!$AM45="W",الحضور!$AM45="PH"),CB43,0)))</f>
        <v>0</v>
      </c>
      <c r="CD43" s="84">
        <f>IF($B43="",0,IF(الحضور!$AN45="A",CC43+AW43+1,IF(OR(الحضور!$AN45="W",الحضور!$AN45="PH"),CC43,0)))</f>
        <v>0</v>
      </c>
      <c r="CE43" s="84">
        <f>IF($B43="",0,IF(الحضور!$AO45="A",CD43+AX43+1,IF(OR(الحضور!$AO45="W",الحضور!$AO45="PH"),CD43,0)))</f>
        <v>0</v>
      </c>
      <c r="CF43" s="84">
        <f>IF($B43="",0,IF(الحضور!$AP45="A",CE43+AY43+1,IF(OR(الحضور!$AP45="W",الحضور!$AP45="PH"),CE43,0)))</f>
        <v>0</v>
      </c>
    </row>
    <row r="44" spans="1:84" ht="16.5" customHeight="1" x14ac:dyDescent="0.35">
      <c r="A44" s="18"/>
      <c r="B44" s="62" t="str">
        <f>IF(الموظفون!$B44="","",الموظفون!$B44)</f>
        <v/>
      </c>
      <c r="C44" s="61" t="str">
        <f>IF($B44="","",الموظفون!$C44)</f>
        <v/>
      </c>
      <c r="D44" s="32"/>
      <c r="E44" s="32"/>
      <c r="F44" s="32"/>
      <c r="G44" s="32"/>
      <c r="H44" s="32"/>
      <c r="I44" s="32"/>
      <c r="J44" s="32"/>
      <c r="K44" s="32"/>
      <c r="L44" s="32"/>
      <c r="M44" s="32"/>
      <c r="N44" s="32"/>
      <c r="O44" s="32"/>
      <c r="P44" s="34" t="str">
        <f>IF($B44="","",SUM($D44:$O44)+IF(INDEX($D44:$O44,1,الإعدادات!$C$13)="",$Q44,0))</f>
        <v/>
      </c>
      <c r="Q44" s="51" t="str">
        <f>IF($B44="","",الحضور!$G46)</f>
        <v/>
      </c>
      <c r="R44" s="34" t="str">
        <f t="shared" si="0"/>
        <v/>
      </c>
      <c r="S44" s="32"/>
      <c r="T44" s="61" t="str">
        <f>IF($B44="","",IF(OR($R44&gt;الإعدادات!$C$36,$S44&gt;الإعدادات!$C$36),"تجاوز حد الإنهاء — غياب متصل",IF($P44&gt;الإعدادات!$C$37,"تجاوز حد الإنهاء — غياب متقطع",IF(OR($R44&gt;=الإعدادات!$C$34,$S44&gt;=الإعدادات!$C$34),"إنذار كتابي واجب — غياب متصل",IF($P44&gt;=الإعدادات!$C$35,"إنذار كتابي واجب — غياب متقطع","سليم")))))</f>
        <v/>
      </c>
      <c r="V44" s="84">
        <f>IF($B44="",0,IF(OR(الحضور!$L46="W",الحضور!$L46="PH"),0+1,0))</f>
        <v>0</v>
      </c>
      <c r="W44" s="84">
        <f>IF($B44="",0,IF(OR(الحضور!$M46="W",الحضور!$M46="PH"),V44+1,0))</f>
        <v>0</v>
      </c>
      <c r="X44" s="84">
        <f>IF($B44="",0,IF(OR(الحضور!$N46="W",الحضور!$N46="PH"),W44+1,0))</f>
        <v>0</v>
      </c>
      <c r="Y44" s="84">
        <f>IF($B44="",0,IF(OR(الحضور!$O46="W",الحضور!$O46="PH"),X44+1,0))</f>
        <v>0</v>
      </c>
      <c r="Z44" s="84">
        <f>IF($B44="",0,IF(OR(الحضور!$P46="W",الحضور!$P46="PH"),Y44+1,0))</f>
        <v>0</v>
      </c>
      <c r="AA44" s="84">
        <f>IF($B44="",0,IF(OR(الحضور!$Q46="W",الحضور!$Q46="PH"),Z44+1,0))</f>
        <v>0</v>
      </c>
      <c r="AB44" s="84">
        <f>IF($B44="",0,IF(OR(الحضور!$R46="W",الحضور!$R46="PH"),AA44+1,0))</f>
        <v>0</v>
      </c>
      <c r="AC44" s="84">
        <f>IF($B44="",0,IF(OR(الحضور!$S46="W",الحضور!$S46="PH"),AB44+1,0))</f>
        <v>0</v>
      </c>
      <c r="AD44" s="84">
        <f>IF($B44="",0,IF(OR(الحضور!$T46="W",الحضور!$T46="PH"),AC44+1,0))</f>
        <v>0</v>
      </c>
      <c r="AE44" s="84">
        <f>IF($B44="",0,IF(OR(الحضور!$U46="W",الحضور!$U46="PH"),AD44+1,0))</f>
        <v>0</v>
      </c>
      <c r="AF44" s="84">
        <f>IF($B44="",0,IF(OR(الحضور!$V46="W",الحضور!$V46="PH"),AE44+1,0))</f>
        <v>0</v>
      </c>
      <c r="AG44" s="84">
        <f>IF($B44="",0,IF(OR(الحضور!$W46="W",الحضور!$W46="PH"),AF44+1,0))</f>
        <v>0</v>
      </c>
      <c r="AH44" s="84">
        <f>IF($B44="",0,IF(OR(الحضور!$X46="W",الحضور!$X46="PH"),AG44+1,0))</f>
        <v>0</v>
      </c>
      <c r="AI44" s="84">
        <f>IF($B44="",0,IF(OR(الحضور!$Y46="W",الحضور!$Y46="PH"),AH44+1,0))</f>
        <v>0</v>
      </c>
      <c r="AJ44" s="84">
        <f>IF($B44="",0,IF(OR(الحضور!$Z46="W",الحضور!$Z46="PH"),AI44+1,0))</f>
        <v>0</v>
      </c>
      <c r="AK44" s="84">
        <f>IF($B44="",0,IF(OR(الحضور!$AA46="W",الحضور!$AA46="PH"),AJ44+1,0))</f>
        <v>0</v>
      </c>
      <c r="AL44" s="84">
        <f>IF($B44="",0,IF(OR(الحضور!$AB46="W",الحضور!$AB46="PH"),AK44+1,0))</f>
        <v>0</v>
      </c>
      <c r="AM44" s="84">
        <f>IF($B44="",0,IF(OR(الحضور!$AC46="W",الحضور!$AC46="PH"),AL44+1,0))</f>
        <v>0</v>
      </c>
      <c r="AN44" s="84">
        <f>IF($B44="",0,IF(OR(الحضور!$AD46="W",الحضور!$AD46="PH"),AM44+1,0))</f>
        <v>0</v>
      </c>
      <c r="AO44" s="84">
        <f>IF($B44="",0,IF(OR(الحضور!$AE46="W",الحضور!$AE46="PH"),AN44+1,0))</f>
        <v>0</v>
      </c>
      <c r="AP44" s="84">
        <f>IF($B44="",0,IF(OR(الحضور!$AF46="W",الحضور!$AF46="PH"),AO44+1,0))</f>
        <v>0</v>
      </c>
      <c r="AQ44" s="84">
        <f>IF($B44="",0,IF(OR(الحضور!$AG46="W",الحضور!$AG46="PH"),AP44+1,0))</f>
        <v>0</v>
      </c>
      <c r="AR44" s="84">
        <f>IF($B44="",0,IF(OR(الحضور!$AH46="W",الحضور!$AH46="PH"),AQ44+1,0))</f>
        <v>0</v>
      </c>
      <c r="AS44" s="84">
        <f>IF($B44="",0,IF(OR(الحضور!$AI46="W",الحضور!$AI46="PH"),AR44+1,0))</f>
        <v>0</v>
      </c>
      <c r="AT44" s="84">
        <f>IF($B44="",0,IF(OR(الحضور!$AJ46="W",الحضور!$AJ46="PH"),AS44+1,0))</f>
        <v>0</v>
      </c>
      <c r="AU44" s="84">
        <f>IF($B44="",0,IF(OR(الحضور!$AK46="W",الحضور!$AK46="PH"),AT44+1,0))</f>
        <v>0</v>
      </c>
      <c r="AV44" s="84">
        <f>IF($B44="",0,IF(OR(الحضور!$AL46="W",الحضور!$AL46="PH"),AU44+1,0))</f>
        <v>0</v>
      </c>
      <c r="AW44" s="84">
        <f>IF($B44="",0,IF(OR(الحضور!$AM46="W",الحضور!$AM46="PH"),AV44+1,0))</f>
        <v>0</v>
      </c>
      <c r="AX44" s="84">
        <f>IF($B44="",0,IF(OR(الحضور!$AN46="W",الحضور!$AN46="PH"),AW44+1,0))</f>
        <v>0</v>
      </c>
      <c r="AY44" s="84">
        <f>IF($B44="",0,IF(OR(الحضور!$AO46="W",الحضور!$AO46="PH"),AX44+1,0))</f>
        <v>0</v>
      </c>
      <c r="AZ44" s="84">
        <f>IF($B44="",0,IF(OR(الحضور!$AP46="W",الحضور!$AP46="PH"),AY44+1,0))</f>
        <v>0</v>
      </c>
      <c r="BB44" s="84">
        <f>IF($B44="",0,IF(الحضور!$L46="A",0+0+1,IF(OR(الحضور!$L46="W",الحضور!$L46="PH"),0,0)))</f>
        <v>0</v>
      </c>
      <c r="BC44" s="84">
        <f>IF($B44="",0,IF(الحضور!$M46="A",BB44+V44+1,IF(OR(الحضور!$M46="W",الحضور!$M46="PH"),BB44,0)))</f>
        <v>0</v>
      </c>
      <c r="BD44" s="84">
        <f>IF($B44="",0,IF(الحضور!$N46="A",BC44+W44+1,IF(OR(الحضور!$N46="W",الحضور!$N46="PH"),BC44,0)))</f>
        <v>0</v>
      </c>
      <c r="BE44" s="84">
        <f>IF($B44="",0,IF(الحضور!$O46="A",BD44+X44+1,IF(OR(الحضور!$O46="W",الحضور!$O46="PH"),BD44,0)))</f>
        <v>0</v>
      </c>
      <c r="BF44" s="84">
        <f>IF($B44="",0,IF(الحضور!$P46="A",BE44+Y44+1,IF(OR(الحضور!$P46="W",الحضور!$P46="PH"),BE44,0)))</f>
        <v>0</v>
      </c>
      <c r="BG44" s="84">
        <f>IF($B44="",0,IF(الحضور!$Q46="A",BF44+Z44+1,IF(OR(الحضور!$Q46="W",الحضور!$Q46="PH"),BF44,0)))</f>
        <v>0</v>
      </c>
      <c r="BH44" s="84">
        <f>IF($B44="",0,IF(الحضور!$R46="A",BG44+AA44+1,IF(OR(الحضور!$R46="W",الحضور!$R46="PH"),BG44,0)))</f>
        <v>0</v>
      </c>
      <c r="BI44" s="84">
        <f>IF($B44="",0,IF(الحضور!$S46="A",BH44+AB44+1,IF(OR(الحضور!$S46="W",الحضور!$S46="PH"),BH44,0)))</f>
        <v>0</v>
      </c>
      <c r="BJ44" s="84">
        <f>IF($B44="",0,IF(الحضور!$T46="A",BI44+AC44+1,IF(OR(الحضور!$T46="W",الحضور!$T46="PH"),BI44,0)))</f>
        <v>0</v>
      </c>
      <c r="BK44" s="84">
        <f>IF($B44="",0,IF(الحضور!$U46="A",BJ44+AD44+1,IF(OR(الحضور!$U46="W",الحضور!$U46="PH"),BJ44,0)))</f>
        <v>0</v>
      </c>
      <c r="BL44" s="84">
        <f>IF($B44="",0,IF(الحضور!$V46="A",BK44+AE44+1,IF(OR(الحضور!$V46="W",الحضور!$V46="PH"),BK44,0)))</f>
        <v>0</v>
      </c>
      <c r="BM44" s="84">
        <f>IF($B44="",0,IF(الحضور!$W46="A",BL44+AF44+1,IF(OR(الحضور!$W46="W",الحضور!$W46="PH"),BL44,0)))</f>
        <v>0</v>
      </c>
      <c r="BN44" s="84">
        <f>IF($B44="",0,IF(الحضور!$X46="A",BM44+AG44+1,IF(OR(الحضور!$X46="W",الحضور!$X46="PH"),BM44,0)))</f>
        <v>0</v>
      </c>
      <c r="BO44" s="84">
        <f>IF($B44="",0,IF(الحضور!$Y46="A",BN44+AH44+1,IF(OR(الحضور!$Y46="W",الحضور!$Y46="PH"),BN44,0)))</f>
        <v>0</v>
      </c>
      <c r="BP44" s="84">
        <f>IF($B44="",0,IF(الحضور!$Z46="A",BO44+AI44+1,IF(OR(الحضور!$Z46="W",الحضور!$Z46="PH"),BO44,0)))</f>
        <v>0</v>
      </c>
      <c r="BQ44" s="84">
        <f>IF($B44="",0,IF(الحضور!$AA46="A",BP44+AJ44+1,IF(OR(الحضور!$AA46="W",الحضور!$AA46="PH"),BP44,0)))</f>
        <v>0</v>
      </c>
      <c r="BR44" s="84">
        <f>IF($B44="",0,IF(الحضور!$AB46="A",BQ44+AK44+1,IF(OR(الحضور!$AB46="W",الحضور!$AB46="PH"),BQ44,0)))</f>
        <v>0</v>
      </c>
      <c r="BS44" s="84">
        <f>IF($B44="",0,IF(الحضور!$AC46="A",BR44+AL44+1,IF(OR(الحضور!$AC46="W",الحضور!$AC46="PH"),BR44,0)))</f>
        <v>0</v>
      </c>
      <c r="BT44" s="84">
        <f>IF($B44="",0,IF(الحضور!$AD46="A",BS44+AM44+1,IF(OR(الحضور!$AD46="W",الحضور!$AD46="PH"),BS44,0)))</f>
        <v>0</v>
      </c>
      <c r="BU44" s="84">
        <f>IF($B44="",0,IF(الحضور!$AE46="A",BT44+AN44+1,IF(OR(الحضور!$AE46="W",الحضور!$AE46="PH"),BT44,0)))</f>
        <v>0</v>
      </c>
      <c r="BV44" s="84">
        <f>IF($B44="",0,IF(الحضور!$AF46="A",BU44+AO44+1,IF(OR(الحضور!$AF46="W",الحضور!$AF46="PH"),BU44,0)))</f>
        <v>0</v>
      </c>
      <c r="BW44" s="84">
        <f>IF($B44="",0,IF(الحضور!$AG46="A",BV44+AP44+1,IF(OR(الحضور!$AG46="W",الحضور!$AG46="PH"),BV44,0)))</f>
        <v>0</v>
      </c>
      <c r="BX44" s="84">
        <f>IF($B44="",0,IF(الحضور!$AH46="A",BW44+AQ44+1,IF(OR(الحضور!$AH46="W",الحضور!$AH46="PH"),BW44,0)))</f>
        <v>0</v>
      </c>
      <c r="BY44" s="84">
        <f>IF($B44="",0,IF(الحضور!$AI46="A",BX44+AR44+1,IF(OR(الحضور!$AI46="W",الحضور!$AI46="PH"),BX44,0)))</f>
        <v>0</v>
      </c>
      <c r="BZ44" s="84">
        <f>IF($B44="",0,IF(الحضور!$AJ46="A",BY44+AS44+1,IF(OR(الحضور!$AJ46="W",الحضور!$AJ46="PH"),BY44,0)))</f>
        <v>0</v>
      </c>
      <c r="CA44" s="84">
        <f>IF($B44="",0,IF(الحضور!$AK46="A",BZ44+AT44+1,IF(OR(الحضور!$AK46="W",الحضور!$AK46="PH"),BZ44,0)))</f>
        <v>0</v>
      </c>
      <c r="CB44" s="84">
        <f>IF($B44="",0,IF(الحضور!$AL46="A",CA44+AU44+1,IF(OR(الحضور!$AL46="W",الحضور!$AL46="PH"),CA44,0)))</f>
        <v>0</v>
      </c>
      <c r="CC44" s="84">
        <f>IF($B44="",0,IF(الحضور!$AM46="A",CB44+AV44+1,IF(OR(الحضور!$AM46="W",الحضور!$AM46="PH"),CB44,0)))</f>
        <v>0</v>
      </c>
      <c r="CD44" s="84">
        <f>IF($B44="",0,IF(الحضور!$AN46="A",CC44+AW44+1,IF(OR(الحضور!$AN46="W",الحضور!$AN46="PH"),CC44,0)))</f>
        <v>0</v>
      </c>
      <c r="CE44" s="84">
        <f>IF($B44="",0,IF(الحضور!$AO46="A",CD44+AX44+1,IF(OR(الحضور!$AO46="W",الحضور!$AO46="PH"),CD44,0)))</f>
        <v>0</v>
      </c>
      <c r="CF44" s="84">
        <f>IF($B44="",0,IF(الحضور!$AP46="A",CE44+AY44+1,IF(OR(الحضور!$AP46="W",الحضور!$AP46="PH"),CE44,0)))</f>
        <v>0</v>
      </c>
    </row>
    <row r="45" spans="1:84" ht="16.5" customHeight="1" x14ac:dyDescent="0.35">
      <c r="A45" s="18"/>
      <c r="B45" s="62" t="str">
        <f>IF(الموظفون!$B45="","",الموظفون!$B45)</f>
        <v/>
      </c>
      <c r="C45" s="61" t="str">
        <f>IF($B45="","",الموظفون!$C45)</f>
        <v/>
      </c>
      <c r="D45" s="32"/>
      <c r="E45" s="32"/>
      <c r="F45" s="32"/>
      <c r="G45" s="32"/>
      <c r="H45" s="32"/>
      <c r="I45" s="32"/>
      <c r="J45" s="32"/>
      <c r="K45" s="32"/>
      <c r="L45" s="32"/>
      <c r="M45" s="32"/>
      <c r="N45" s="32"/>
      <c r="O45" s="32"/>
      <c r="P45" s="34" t="str">
        <f>IF($B45="","",SUM($D45:$O45)+IF(INDEX($D45:$O45,1,الإعدادات!$C$13)="",$Q45,0))</f>
        <v/>
      </c>
      <c r="Q45" s="51" t="str">
        <f>IF($B45="","",الحضور!$G47)</f>
        <v/>
      </c>
      <c r="R45" s="34" t="str">
        <f t="shared" si="0"/>
        <v/>
      </c>
      <c r="S45" s="32"/>
      <c r="T45" s="61" t="str">
        <f>IF($B45="","",IF(OR($R45&gt;الإعدادات!$C$36,$S45&gt;الإعدادات!$C$36),"تجاوز حد الإنهاء — غياب متصل",IF($P45&gt;الإعدادات!$C$37,"تجاوز حد الإنهاء — غياب متقطع",IF(OR($R45&gt;=الإعدادات!$C$34,$S45&gt;=الإعدادات!$C$34),"إنذار كتابي واجب — غياب متصل",IF($P45&gt;=الإعدادات!$C$35,"إنذار كتابي واجب — غياب متقطع","سليم")))))</f>
        <v/>
      </c>
      <c r="V45" s="84">
        <f>IF($B45="",0,IF(OR(الحضور!$L47="W",الحضور!$L47="PH"),0+1,0))</f>
        <v>0</v>
      </c>
      <c r="W45" s="84">
        <f>IF($B45="",0,IF(OR(الحضور!$M47="W",الحضور!$M47="PH"),V45+1,0))</f>
        <v>0</v>
      </c>
      <c r="X45" s="84">
        <f>IF($B45="",0,IF(OR(الحضور!$N47="W",الحضور!$N47="PH"),W45+1,0))</f>
        <v>0</v>
      </c>
      <c r="Y45" s="84">
        <f>IF($B45="",0,IF(OR(الحضور!$O47="W",الحضور!$O47="PH"),X45+1,0))</f>
        <v>0</v>
      </c>
      <c r="Z45" s="84">
        <f>IF($B45="",0,IF(OR(الحضور!$P47="W",الحضور!$P47="PH"),Y45+1,0))</f>
        <v>0</v>
      </c>
      <c r="AA45" s="84">
        <f>IF($B45="",0,IF(OR(الحضور!$Q47="W",الحضور!$Q47="PH"),Z45+1,0))</f>
        <v>0</v>
      </c>
      <c r="AB45" s="84">
        <f>IF($B45="",0,IF(OR(الحضور!$R47="W",الحضور!$R47="PH"),AA45+1,0))</f>
        <v>0</v>
      </c>
      <c r="AC45" s="84">
        <f>IF($B45="",0,IF(OR(الحضور!$S47="W",الحضور!$S47="PH"),AB45+1,0))</f>
        <v>0</v>
      </c>
      <c r="AD45" s="84">
        <f>IF($B45="",0,IF(OR(الحضور!$T47="W",الحضور!$T47="PH"),AC45+1,0))</f>
        <v>0</v>
      </c>
      <c r="AE45" s="84">
        <f>IF($B45="",0,IF(OR(الحضور!$U47="W",الحضور!$U47="PH"),AD45+1,0))</f>
        <v>0</v>
      </c>
      <c r="AF45" s="84">
        <f>IF($B45="",0,IF(OR(الحضور!$V47="W",الحضور!$V47="PH"),AE45+1,0))</f>
        <v>0</v>
      </c>
      <c r="AG45" s="84">
        <f>IF($B45="",0,IF(OR(الحضور!$W47="W",الحضور!$W47="PH"),AF45+1,0))</f>
        <v>0</v>
      </c>
      <c r="AH45" s="84">
        <f>IF($B45="",0,IF(OR(الحضور!$X47="W",الحضور!$X47="PH"),AG45+1,0))</f>
        <v>0</v>
      </c>
      <c r="AI45" s="84">
        <f>IF($B45="",0,IF(OR(الحضور!$Y47="W",الحضور!$Y47="PH"),AH45+1,0))</f>
        <v>0</v>
      </c>
      <c r="AJ45" s="84">
        <f>IF($B45="",0,IF(OR(الحضور!$Z47="W",الحضور!$Z47="PH"),AI45+1,0))</f>
        <v>0</v>
      </c>
      <c r="AK45" s="84">
        <f>IF($B45="",0,IF(OR(الحضور!$AA47="W",الحضور!$AA47="PH"),AJ45+1,0))</f>
        <v>0</v>
      </c>
      <c r="AL45" s="84">
        <f>IF($B45="",0,IF(OR(الحضور!$AB47="W",الحضور!$AB47="PH"),AK45+1,0))</f>
        <v>0</v>
      </c>
      <c r="AM45" s="84">
        <f>IF($B45="",0,IF(OR(الحضور!$AC47="W",الحضور!$AC47="PH"),AL45+1,0))</f>
        <v>0</v>
      </c>
      <c r="AN45" s="84">
        <f>IF($B45="",0,IF(OR(الحضور!$AD47="W",الحضور!$AD47="PH"),AM45+1,0))</f>
        <v>0</v>
      </c>
      <c r="AO45" s="84">
        <f>IF($B45="",0,IF(OR(الحضور!$AE47="W",الحضور!$AE47="PH"),AN45+1,0))</f>
        <v>0</v>
      </c>
      <c r="AP45" s="84">
        <f>IF($B45="",0,IF(OR(الحضور!$AF47="W",الحضور!$AF47="PH"),AO45+1,0))</f>
        <v>0</v>
      </c>
      <c r="AQ45" s="84">
        <f>IF($B45="",0,IF(OR(الحضور!$AG47="W",الحضور!$AG47="PH"),AP45+1,0))</f>
        <v>0</v>
      </c>
      <c r="AR45" s="84">
        <f>IF($B45="",0,IF(OR(الحضور!$AH47="W",الحضور!$AH47="PH"),AQ45+1,0))</f>
        <v>0</v>
      </c>
      <c r="AS45" s="84">
        <f>IF($B45="",0,IF(OR(الحضور!$AI47="W",الحضور!$AI47="PH"),AR45+1,0))</f>
        <v>0</v>
      </c>
      <c r="AT45" s="84">
        <f>IF($B45="",0,IF(OR(الحضور!$AJ47="W",الحضور!$AJ47="PH"),AS45+1,0))</f>
        <v>0</v>
      </c>
      <c r="AU45" s="84">
        <f>IF($B45="",0,IF(OR(الحضور!$AK47="W",الحضور!$AK47="PH"),AT45+1,0))</f>
        <v>0</v>
      </c>
      <c r="AV45" s="84">
        <f>IF($B45="",0,IF(OR(الحضور!$AL47="W",الحضور!$AL47="PH"),AU45+1,0))</f>
        <v>0</v>
      </c>
      <c r="AW45" s="84">
        <f>IF($B45="",0,IF(OR(الحضور!$AM47="W",الحضور!$AM47="PH"),AV45+1,0))</f>
        <v>0</v>
      </c>
      <c r="AX45" s="84">
        <f>IF($B45="",0,IF(OR(الحضور!$AN47="W",الحضور!$AN47="PH"),AW45+1,0))</f>
        <v>0</v>
      </c>
      <c r="AY45" s="84">
        <f>IF($B45="",0,IF(OR(الحضور!$AO47="W",الحضور!$AO47="PH"),AX45+1,0))</f>
        <v>0</v>
      </c>
      <c r="AZ45" s="84">
        <f>IF($B45="",0,IF(OR(الحضور!$AP47="W",الحضور!$AP47="PH"),AY45+1,0))</f>
        <v>0</v>
      </c>
      <c r="BB45" s="84">
        <f>IF($B45="",0,IF(الحضور!$L47="A",0+0+1,IF(OR(الحضور!$L47="W",الحضور!$L47="PH"),0,0)))</f>
        <v>0</v>
      </c>
      <c r="BC45" s="84">
        <f>IF($B45="",0,IF(الحضور!$M47="A",BB45+V45+1,IF(OR(الحضور!$M47="W",الحضور!$M47="PH"),BB45,0)))</f>
        <v>0</v>
      </c>
      <c r="BD45" s="84">
        <f>IF($B45="",0,IF(الحضور!$N47="A",BC45+W45+1,IF(OR(الحضور!$N47="W",الحضور!$N47="PH"),BC45,0)))</f>
        <v>0</v>
      </c>
      <c r="BE45" s="84">
        <f>IF($B45="",0,IF(الحضور!$O47="A",BD45+X45+1,IF(OR(الحضور!$O47="W",الحضور!$O47="PH"),BD45,0)))</f>
        <v>0</v>
      </c>
      <c r="BF45" s="84">
        <f>IF($B45="",0,IF(الحضور!$P47="A",BE45+Y45+1,IF(OR(الحضور!$P47="W",الحضور!$P47="PH"),BE45,0)))</f>
        <v>0</v>
      </c>
      <c r="BG45" s="84">
        <f>IF($B45="",0,IF(الحضور!$Q47="A",BF45+Z45+1,IF(OR(الحضور!$Q47="W",الحضور!$Q47="PH"),BF45,0)))</f>
        <v>0</v>
      </c>
      <c r="BH45" s="84">
        <f>IF($B45="",0,IF(الحضور!$R47="A",BG45+AA45+1,IF(OR(الحضور!$R47="W",الحضور!$R47="PH"),BG45,0)))</f>
        <v>0</v>
      </c>
      <c r="BI45" s="84">
        <f>IF($B45="",0,IF(الحضور!$S47="A",BH45+AB45+1,IF(OR(الحضور!$S47="W",الحضور!$S47="PH"),BH45,0)))</f>
        <v>0</v>
      </c>
      <c r="BJ45" s="84">
        <f>IF($B45="",0,IF(الحضور!$T47="A",BI45+AC45+1,IF(OR(الحضور!$T47="W",الحضور!$T47="PH"),BI45,0)))</f>
        <v>0</v>
      </c>
      <c r="BK45" s="84">
        <f>IF($B45="",0,IF(الحضور!$U47="A",BJ45+AD45+1,IF(OR(الحضور!$U47="W",الحضور!$U47="PH"),BJ45,0)))</f>
        <v>0</v>
      </c>
      <c r="BL45" s="84">
        <f>IF($B45="",0,IF(الحضور!$V47="A",BK45+AE45+1,IF(OR(الحضور!$V47="W",الحضور!$V47="PH"),BK45,0)))</f>
        <v>0</v>
      </c>
      <c r="BM45" s="84">
        <f>IF($B45="",0,IF(الحضور!$W47="A",BL45+AF45+1,IF(OR(الحضور!$W47="W",الحضور!$W47="PH"),BL45,0)))</f>
        <v>0</v>
      </c>
      <c r="BN45" s="84">
        <f>IF($B45="",0,IF(الحضور!$X47="A",BM45+AG45+1,IF(OR(الحضور!$X47="W",الحضور!$X47="PH"),BM45,0)))</f>
        <v>0</v>
      </c>
      <c r="BO45" s="84">
        <f>IF($B45="",0,IF(الحضور!$Y47="A",BN45+AH45+1,IF(OR(الحضور!$Y47="W",الحضور!$Y47="PH"),BN45,0)))</f>
        <v>0</v>
      </c>
      <c r="BP45" s="84">
        <f>IF($B45="",0,IF(الحضور!$Z47="A",BO45+AI45+1,IF(OR(الحضور!$Z47="W",الحضور!$Z47="PH"),BO45,0)))</f>
        <v>0</v>
      </c>
      <c r="BQ45" s="84">
        <f>IF($B45="",0,IF(الحضور!$AA47="A",BP45+AJ45+1,IF(OR(الحضور!$AA47="W",الحضور!$AA47="PH"),BP45,0)))</f>
        <v>0</v>
      </c>
      <c r="BR45" s="84">
        <f>IF($B45="",0,IF(الحضور!$AB47="A",BQ45+AK45+1,IF(OR(الحضور!$AB47="W",الحضور!$AB47="PH"),BQ45,0)))</f>
        <v>0</v>
      </c>
      <c r="BS45" s="84">
        <f>IF($B45="",0,IF(الحضور!$AC47="A",BR45+AL45+1,IF(OR(الحضور!$AC47="W",الحضور!$AC47="PH"),BR45,0)))</f>
        <v>0</v>
      </c>
      <c r="BT45" s="84">
        <f>IF($B45="",0,IF(الحضور!$AD47="A",BS45+AM45+1,IF(OR(الحضور!$AD47="W",الحضور!$AD47="PH"),BS45,0)))</f>
        <v>0</v>
      </c>
      <c r="BU45" s="84">
        <f>IF($B45="",0,IF(الحضور!$AE47="A",BT45+AN45+1,IF(OR(الحضور!$AE47="W",الحضور!$AE47="PH"),BT45,0)))</f>
        <v>0</v>
      </c>
      <c r="BV45" s="84">
        <f>IF($B45="",0,IF(الحضور!$AF47="A",BU45+AO45+1,IF(OR(الحضور!$AF47="W",الحضور!$AF47="PH"),BU45,0)))</f>
        <v>0</v>
      </c>
      <c r="BW45" s="84">
        <f>IF($B45="",0,IF(الحضور!$AG47="A",BV45+AP45+1,IF(OR(الحضور!$AG47="W",الحضور!$AG47="PH"),BV45,0)))</f>
        <v>0</v>
      </c>
      <c r="BX45" s="84">
        <f>IF($B45="",0,IF(الحضور!$AH47="A",BW45+AQ45+1,IF(OR(الحضور!$AH47="W",الحضور!$AH47="PH"),BW45,0)))</f>
        <v>0</v>
      </c>
      <c r="BY45" s="84">
        <f>IF($B45="",0,IF(الحضور!$AI47="A",BX45+AR45+1,IF(OR(الحضور!$AI47="W",الحضور!$AI47="PH"),BX45,0)))</f>
        <v>0</v>
      </c>
      <c r="BZ45" s="84">
        <f>IF($B45="",0,IF(الحضور!$AJ47="A",BY45+AS45+1,IF(OR(الحضور!$AJ47="W",الحضور!$AJ47="PH"),BY45,0)))</f>
        <v>0</v>
      </c>
      <c r="CA45" s="84">
        <f>IF($B45="",0,IF(الحضور!$AK47="A",BZ45+AT45+1,IF(OR(الحضور!$AK47="W",الحضور!$AK47="PH"),BZ45,0)))</f>
        <v>0</v>
      </c>
      <c r="CB45" s="84">
        <f>IF($B45="",0,IF(الحضور!$AL47="A",CA45+AU45+1,IF(OR(الحضور!$AL47="W",الحضور!$AL47="PH"),CA45,0)))</f>
        <v>0</v>
      </c>
      <c r="CC45" s="84">
        <f>IF($B45="",0,IF(الحضور!$AM47="A",CB45+AV45+1,IF(OR(الحضور!$AM47="W",الحضور!$AM47="PH"),CB45,0)))</f>
        <v>0</v>
      </c>
      <c r="CD45" s="84">
        <f>IF($B45="",0,IF(الحضور!$AN47="A",CC45+AW45+1,IF(OR(الحضور!$AN47="W",الحضور!$AN47="PH"),CC45,0)))</f>
        <v>0</v>
      </c>
      <c r="CE45" s="84">
        <f>IF($B45="",0,IF(الحضور!$AO47="A",CD45+AX45+1,IF(OR(الحضور!$AO47="W",الحضور!$AO47="PH"),CD45,0)))</f>
        <v>0</v>
      </c>
      <c r="CF45" s="84">
        <f>IF($B45="",0,IF(الحضور!$AP47="A",CE45+AY45+1,IF(OR(الحضور!$AP47="W",الحضور!$AP47="PH"),CE45,0)))</f>
        <v>0</v>
      </c>
    </row>
    <row r="47" spans="1:84" ht="25.5" customHeight="1" x14ac:dyDescent="0.35">
      <c r="A47" s="7" t="s">
        <v>414</v>
      </c>
      <c r="B47" s="7"/>
      <c r="C47" s="7"/>
      <c r="D47" s="7"/>
      <c r="E47" s="7"/>
      <c r="F47" s="7"/>
      <c r="G47" s="7"/>
      <c r="H47" s="7"/>
      <c r="I47" s="7"/>
      <c r="J47" s="7"/>
      <c r="K47" s="7"/>
      <c r="L47" s="7"/>
      <c r="M47" s="7"/>
      <c r="N47" s="7"/>
      <c r="O47" s="7"/>
      <c r="P47" s="7"/>
      <c r="Q47" s="7"/>
      <c r="R47" s="7"/>
      <c r="S47" s="7"/>
      <c r="T47" s="7"/>
    </row>
    <row r="48" spans="1:84" ht="25.5" customHeight="1" x14ac:dyDescent="0.35">
      <c r="A48" s="8" t="s">
        <v>415</v>
      </c>
      <c r="B48" s="8"/>
      <c r="C48" s="8"/>
      <c r="D48" s="8"/>
      <c r="E48" s="8"/>
      <c r="F48" s="8"/>
      <c r="G48" s="8"/>
      <c r="H48" s="8"/>
      <c r="I48" s="8"/>
      <c r="J48" s="8"/>
      <c r="K48" s="8"/>
      <c r="L48" s="8"/>
      <c r="M48" s="8"/>
      <c r="N48" s="8"/>
      <c r="O48" s="8"/>
      <c r="P48" s="8"/>
      <c r="Q48" s="8"/>
      <c r="R48" s="8"/>
      <c r="S48" s="8"/>
      <c r="T48" s="8"/>
    </row>
    <row r="49" spans="1:20" ht="25.5" customHeight="1" x14ac:dyDescent="0.35">
      <c r="A49" s="9" t="s">
        <v>416</v>
      </c>
      <c r="B49" s="9"/>
      <c r="C49" s="9"/>
      <c r="D49" s="9"/>
      <c r="E49" s="9"/>
      <c r="F49" s="9"/>
      <c r="G49" s="9"/>
      <c r="H49" s="9"/>
      <c r="I49" s="9"/>
      <c r="J49" s="9"/>
      <c r="K49" s="9"/>
      <c r="L49" s="9"/>
      <c r="M49" s="9"/>
      <c r="N49" s="9"/>
      <c r="O49" s="9"/>
      <c r="P49" s="9"/>
      <c r="Q49" s="9"/>
      <c r="R49" s="9"/>
      <c r="S49" s="9"/>
      <c r="T49" s="9"/>
    </row>
  </sheetData>
  <sheetProtection sheet="1" formatCells="0" formatColumns="0" formatRows="0" sort="0" autoFilter="0"/>
  <mergeCells count="5">
    <mergeCell ref="A1:T1"/>
    <mergeCell ref="A2:T2"/>
    <mergeCell ref="A47:T47"/>
    <mergeCell ref="A48:T48"/>
    <mergeCell ref="A49:T49"/>
  </mergeCells>
  <conditionalFormatting sqref="P6:T45">
    <cfRule type="expression" dxfId="5" priority="2">
      <formula>ISNUMBER(SEARCH("الإنهاء",$T6))</formula>
    </cfRule>
    <cfRule type="expression" dxfId="4" priority="3">
      <formula>ISNUMBER(SEARCH("إنذار",$T6))</formula>
    </cfRule>
  </conditionalFormatting>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48"/>
  <sheetViews>
    <sheetView showGridLines="0" rightToLeft="1" zoomScale="88" zoomScaleNormal="100" workbookViewId="0">
      <pane xSplit="3" ySplit="6" topLeftCell="D7" activePane="bottomRight" state="frozen"/>
      <selection pane="topRight" activeCell="D1" sqref="D1"/>
      <selection pane="bottomLeft" activeCell="A7" sqref="A7"/>
      <selection pane="bottomRight" activeCell="D13" sqref="D13"/>
    </sheetView>
  </sheetViews>
  <sheetFormatPr defaultColWidth="8.6328125" defaultRowHeight="14.5" x14ac:dyDescent="0.35"/>
  <cols>
    <col min="1" max="1" width="5" customWidth="1"/>
    <col min="2" max="2" width="13" customWidth="1"/>
    <col min="3" max="3" width="24" customWidth="1"/>
    <col min="4" max="4" width="15" customWidth="1"/>
    <col min="5" max="6" width="11" customWidth="1"/>
    <col min="7" max="8" width="14" customWidth="1"/>
    <col min="9" max="9" width="12" customWidth="1"/>
    <col min="10" max="10" width="32" customWidth="1"/>
    <col min="11" max="11" width="40" customWidth="1"/>
  </cols>
  <sheetData>
    <row r="1" spans="1:11" ht="30" customHeight="1" x14ac:dyDescent="0.35">
      <c r="A1" s="14" t="s">
        <v>417</v>
      </c>
      <c r="B1" s="14"/>
      <c r="C1" s="14"/>
      <c r="D1" s="14"/>
      <c r="E1" s="14"/>
      <c r="F1" s="14"/>
      <c r="G1" s="14"/>
      <c r="H1" s="14"/>
      <c r="I1" s="14"/>
      <c r="J1" s="14"/>
      <c r="K1" s="14"/>
    </row>
    <row r="2" spans="1:11" ht="18" customHeight="1" x14ac:dyDescent="0.35">
      <c r="A2" s="13" t="s">
        <v>418</v>
      </c>
      <c r="B2" s="13"/>
      <c r="C2" s="13"/>
      <c r="D2" s="13"/>
      <c r="E2" s="13"/>
      <c r="F2" s="13"/>
      <c r="G2" s="13"/>
      <c r="H2" s="13"/>
      <c r="I2" s="13"/>
      <c r="J2" s="13"/>
      <c r="K2" s="13"/>
    </row>
    <row r="3" spans="1:11" x14ac:dyDescent="0.35">
      <c r="A3" s="53" t="s">
        <v>419</v>
      </c>
      <c r="C3" s="85">
        <f>COUNTIF(J7:J46,"إنذار*")</f>
        <v>1</v>
      </c>
      <c r="D3" s="53" t="s">
        <v>420</v>
      </c>
      <c r="F3" s="85">
        <f>COUNTIF(J7:J46,"تجاوز*")</f>
        <v>1</v>
      </c>
      <c r="G3" s="53" t="s">
        <v>421</v>
      </c>
      <c r="I3" s="85">
        <f>COUNTIF(J7:J46,"متابعة*")</f>
        <v>12</v>
      </c>
    </row>
    <row r="6" spans="1:11" ht="30" customHeight="1" x14ac:dyDescent="0.35">
      <c r="A6" s="15" t="s">
        <v>200</v>
      </c>
      <c r="B6" s="15" t="s">
        <v>201</v>
      </c>
      <c r="C6" s="15" t="s">
        <v>202</v>
      </c>
      <c r="D6" s="15" t="s">
        <v>203</v>
      </c>
      <c r="E6" s="15" t="s">
        <v>325</v>
      </c>
      <c r="F6" s="15" t="s">
        <v>422</v>
      </c>
      <c r="G6" s="15" t="s">
        <v>423</v>
      </c>
      <c r="H6" s="15" t="s">
        <v>424</v>
      </c>
      <c r="I6" s="15" t="s">
        <v>326</v>
      </c>
      <c r="J6" s="15" t="s">
        <v>425</v>
      </c>
      <c r="K6" s="15" t="s">
        <v>426</v>
      </c>
    </row>
    <row r="7" spans="1:11" ht="18" customHeight="1" x14ac:dyDescent="0.35">
      <c r="A7" s="18">
        <v>1</v>
      </c>
      <c r="B7" s="62" t="str">
        <f>IF(الحضور!$B8="","",الحضور!$B8)</f>
        <v>EMP-001</v>
      </c>
      <c r="C7" s="61" t="str">
        <f>IF($B7="","",الحضور!$C8)</f>
        <v>أحمد محمد الشريف</v>
      </c>
      <c r="D7" s="62" t="str">
        <f>IF($B7="","",الحضور!$D8)</f>
        <v>العمليات</v>
      </c>
      <c r="E7" s="86">
        <f>IF($B7="","",الحضور!$I8)</f>
        <v>1</v>
      </c>
      <c r="F7" s="51">
        <f>IF($B7="","",الحضور!$G8)</f>
        <v>0</v>
      </c>
      <c r="G7" s="51">
        <f>IF($B7="","",التجميع!$P6)</f>
        <v>0</v>
      </c>
      <c r="H7" s="51">
        <f>IF($B7="","",MAX(التجميع!$R6,التجميع!$S6))</f>
        <v>0</v>
      </c>
      <c r="I7" s="64">
        <f>IF($B7="","",الحضور!$J8)</f>
        <v>75</v>
      </c>
      <c r="J7" s="87" t="str">
        <f>IF($B7="","",IF($H7&gt;الإعدادات!$C$36,"تجاوز حد الإنهاء — غياب متصل",IF($G7&gt;الإعدادات!$C$37,"تجاوز حد الإنهاء — غياب متقطع",IF($H7&gt;=الإعدادات!$C$34,"إنذار كتابي واجب — غياب متصل",IF($G7&gt;=الإعدادات!$C$35,"إنذار كتابي واجب — غياب متقطع",IF(AND($E7&lt;&gt;"",$E7&lt;0.9),"متابعة — التزام أقل من 90٪","—"))))))</f>
        <v>—</v>
      </c>
      <c r="K7" s="61" t="str">
        <f t="shared" ref="K7:K46" si="0">IF(OR($B7="",$J7="—",$J7=""),"",IF(LEFT($J7,5)="تجاوز","إنهاء وفق المادة 80 — يشترط سبق الإنذار الكتابي وتوثيقه",IF(LEFT($J7,5)="إنذار","إصدار إنذار كتابي فوراً وتوثيقه في ملف الموظف — ورقة «الإنذار»","مقابلة تصحيحية موثقة مع المدير المباشر")))</f>
        <v/>
      </c>
    </row>
    <row r="8" spans="1:11" ht="18" customHeight="1" x14ac:dyDescent="0.35">
      <c r="A8" s="18">
        <v>2</v>
      </c>
      <c r="B8" s="62" t="str">
        <f>IF(الحضور!$B9="","",الحضور!$B9)</f>
        <v>EMP-002</v>
      </c>
      <c r="C8" s="61" t="str">
        <f>IF($B8="","",الحضور!$C9)</f>
        <v>عبدالله القحطاني</v>
      </c>
      <c r="D8" s="62" t="str">
        <f>IF($B8="","",الحضور!$D9)</f>
        <v>العمليات</v>
      </c>
      <c r="E8" s="86">
        <f>IF($B8="","",الحضور!$I9)</f>
        <v>0.77272727272727271</v>
      </c>
      <c r="F8" s="51">
        <f>IF($B8="","",الحضور!$G9)</f>
        <v>3</v>
      </c>
      <c r="G8" s="51">
        <f>IF($B8="","",التجميع!$P7)</f>
        <v>3</v>
      </c>
      <c r="H8" s="51">
        <f>IF($B8="","",MAX(التجميع!$R7,التجميع!$S7))</f>
        <v>3</v>
      </c>
      <c r="I8" s="64">
        <f>IF($B8="","",الحضور!$J9)</f>
        <v>20</v>
      </c>
      <c r="J8" s="87" t="str">
        <f>IF($B8="","",IF($H8&gt;الإعدادات!$C$36,"تجاوز حد الإنهاء — غياب متصل",IF($G8&gt;الإعدادات!$C$37,"تجاوز حد الإنهاء — غياب متقطع",IF($H8&gt;=الإعدادات!$C$34,"إنذار كتابي واجب — غياب متصل",IF($G8&gt;=الإعدادات!$C$35,"إنذار كتابي واجب — غياب متقطع",IF(AND($E8&lt;&gt;"",$E8&lt;0.9),"متابعة — التزام أقل من 90٪","—"))))))</f>
        <v>متابعة — التزام أقل من 90٪</v>
      </c>
      <c r="K8" s="61" t="str">
        <f t="shared" si="0"/>
        <v>مقابلة تصحيحية موثقة مع المدير المباشر</v>
      </c>
    </row>
    <row r="9" spans="1:11" ht="18" customHeight="1" x14ac:dyDescent="0.35">
      <c r="A9" s="18">
        <v>3</v>
      </c>
      <c r="B9" s="62" t="str">
        <f>IF(الحضور!$B10="","",الحضور!$B10)</f>
        <v>EMP-003</v>
      </c>
      <c r="C9" s="61" t="str">
        <f>IF($B9="","",الحضور!$C10)</f>
        <v>محمود حسن السيد</v>
      </c>
      <c r="D9" s="62" t="str">
        <f>IF($B9="","",الحضور!$D10)</f>
        <v>العمليات</v>
      </c>
      <c r="E9" s="86">
        <f>IF($B9="","",الحضور!$I10)</f>
        <v>1</v>
      </c>
      <c r="F9" s="51">
        <f>IF($B9="","",الحضور!$G10)</f>
        <v>0</v>
      </c>
      <c r="G9" s="51">
        <f>IF($B9="","",التجميع!$P8)</f>
        <v>0</v>
      </c>
      <c r="H9" s="51">
        <f>IF($B9="","",MAX(التجميع!$R8,التجميع!$S8))</f>
        <v>0</v>
      </c>
      <c r="I9" s="64">
        <f>IF($B9="","",الحضور!$J10)</f>
        <v>0</v>
      </c>
      <c r="J9" s="87" t="str">
        <f>IF($B9="","",IF($H9&gt;الإعدادات!$C$36,"تجاوز حد الإنهاء — غياب متصل",IF($G9&gt;الإعدادات!$C$37,"تجاوز حد الإنهاء — غياب متقطع",IF($H9&gt;=الإعدادات!$C$34,"إنذار كتابي واجب — غياب متصل",IF($G9&gt;=الإعدادات!$C$35,"إنذار كتابي واجب — غياب متقطع",IF(AND($E9&lt;&gt;"",$E9&lt;0.9),"متابعة — التزام أقل من 90٪","—"))))))</f>
        <v>—</v>
      </c>
      <c r="K9" s="61" t="str">
        <f t="shared" si="0"/>
        <v/>
      </c>
    </row>
    <row r="10" spans="1:11" ht="18" customHeight="1" x14ac:dyDescent="0.35">
      <c r="A10" s="18">
        <v>4</v>
      </c>
      <c r="B10" s="62" t="str">
        <f>IF(الحضور!$B11="","",الحضور!$B11)</f>
        <v>EMP-004</v>
      </c>
      <c r="C10" s="61" t="str">
        <f>IF($B10="","",الحضور!$C11)</f>
        <v>فيصل العتيبي</v>
      </c>
      <c r="D10" s="62" t="str">
        <f>IF($B10="","",الحضور!$D11)</f>
        <v>العمليات</v>
      </c>
      <c r="E10" s="86">
        <f>IF($B10="","",الحضور!$I11)</f>
        <v>1</v>
      </c>
      <c r="F10" s="51">
        <f>IF($B10="","",الحضور!$G11)</f>
        <v>0</v>
      </c>
      <c r="G10" s="51">
        <f>IF($B10="","",التجميع!$P9)</f>
        <v>0</v>
      </c>
      <c r="H10" s="51">
        <f>IF($B10="","",MAX(التجميع!$R9,التجميع!$S9))</f>
        <v>0</v>
      </c>
      <c r="I10" s="64">
        <f>IF($B10="","",الحضور!$J11)</f>
        <v>46</v>
      </c>
      <c r="J10" s="87" t="str">
        <f>IF($B10="","",IF($H10&gt;الإعدادات!$C$36,"تجاوز حد الإنهاء — غياب متصل",IF($G10&gt;الإعدادات!$C$37,"تجاوز حد الإنهاء — غياب متقطع",IF($H10&gt;=الإعدادات!$C$34,"إنذار كتابي واجب — غياب متصل",IF($G10&gt;=الإعدادات!$C$35,"إنذار كتابي واجب — غياب متقطع",IF(AND($E10&lt;&gt;"",$E10&lt;0.9),"متابعة — التزام أقل من 90٪","—"))))))</f>
        <v>—</v>
      </c>
      <c r="K10" s="61" t="str">
        <f t="shared" si="0"/>
        <v/>
      </c>
    </row>
    <row r="11" spans="1:11" ht="18" customHeight="1" x14ac:dyDescent="0.35">
      <c r="A11" s="18">
        <v>5</v>
      </c>
      <c r="B11" s="62" t="str">
        <f>IF(الحضور!$B12="","",الحضور!$B12)</f>
        <v>EMP-005</v>
      </c>
      <c r="C11" s="61" t="str">
        <f>IF($B11="","",الحضور!$C12)</f>
        <v>يوسف إبراهيم فؤاد</v>
      </c>
      <c r="D11" s="62" t="str">
        <f>IF($B11="","",الحضور!$D12)</f>
        <v>الجودة</v>
      </c>
      <c r="E11" s="86">
        <f>IF($B11="","",الحضور!$I12)</f>
        <v>0.97727272727272729</v>
      </c>
      <c r="F11" s="51">
        <f>IF($B11="","",الحضور!$G12)</f>
        <v>0</v>
      </c>
      <c r="G11" s="51">
        <f>IF($B11="","",التجميع!$P10)</f>
        <v>0</v>
      </c>
      <c r="H11" s="51">
        <f>IF($B11="","",MAX(التجميع!$R10,التجميع!$S10))</f>
        <v>0</v>
      </c>
      <c r="I11" s="64">
        <f>IF($B11="","",الحضور!$J12)</f>
        <v>449</v>
      </c>
      <c r="J11" s="87" t="str">
        <f>IF($B11="","",IF($H11&gt;الإعدادات!$C$36,"تجاوز حد الإنهاء — غياب متصل",IF($G11&gt;الإعدادات!$C$37,"تجاوز حد الإنهاء — غياب متقطع",IF($H11&gt;=الإعدادات!$C$34,"إنذار كتابي واجب — غياب متصل",IF($G11&gt;=الإعدادات!$C$35,"إنذار كتابي واجب — غياب متقطع",IF(AND($E11&lt;&gt;"",$E11&lt;0.9),"متابعة — التزام أقل من 90٪","—"))))))</f>
        <v>—</v>
      </c>
      <c r="K11" s="61" t="str">
        <f t="shared" si="0"/>
        <v/>
      </c>
    </row>
    <row r="12" spans="1:11" ht="18" customHeight="1" x14ac:dyDescent="0.35">
      <c r="A12" s="18">
        <v>6</v>
      </c>
      <c r="B12" s="62" t="str">
        <f>IF(الحضور!$B13="","",الحضور!$B13)</f>
        <v>EMP-006</v>
      </c>
      <c r="C12" s="61" t="str">
        <f>IF($B12="","",الحضور!$C13)</f>
        <v>سلطان الحربي</v>
      </c>
      <c r="D12" s="62" t="str">
        <f>IF($B12="","",الحضور!$D13)</f>
        <v>الجودة</v>
      </c>
      <c r="E12" s="86">
        <f>IF($B12="","",الحضور!$I13)</f>
        <v>1</v>
      </c>
      <c r="F12" s="51">
        <f>IF($B12="","",الحضور!$G13)</f>
        <v>0</v>
      </c>
      <c r="G12" s="51">
        <f>IF($B12="","",التجميع!$P11)</f>
        <v>0</v>
      </c>
      <c r="H12" s="51">
        <f>IF($B12="","",MAX(التجميع!$R11,التجميع!$S11))</f>
        <v>0</v>
      </c>
      <c r="I12" s="64">
        <f>IF($B12="","",الحضور!$J13)</f>
        <v>70</v>
      </c>
      <c r="J12" s="87" t="str">
        <f>IF($B12="","",IF($H12&gt;الإعدادات!$C$36,"تجاوز حد الإنهاء — غياب متصل",IF($G12&gt;الإعدادات!$C$37,"تجاوز حد الإنهاء — غياب متقطع",IF($H12&gt;=الإعدادات!$C$34,"إنذار كتابي واجب — غياب متصل",IF($G12&gt;=الإعدادات!$C$35,"إنذار كتابي واجب — غياب متقطع",IF(AND($E12&lt;&gt;"",$E12&lt;0.9),"متابعة — التزام أقل من 90٪","—"))))))</f>
        <v>—</v>
      </c>
      <c r="K12" s="61" t="str">
        <f t="shared" si="0"/>
        <v/>
      </c>
    </row>
    <row r="13" spans="1:11" ht="18" customHeight="1" x14ac:dyDescent="0.35">
      <c r="A13" s="18">
        <v>7</v>
      </c>
      <c r="B13" s="62" t="str">
        <f>IF(الحضور!$B14="","",الحضور!$B14)</f>
        <v>EMP-007</v>
      </c>
      <c r="C13" s="61" t="str">
        <f>IF($B13="","",الحضور!$C14)</f>
        <v>كريم سعيد الخولي</v>
      </c>
      <c r="D13" s="62" t="str">
        <f>IF($B13="","",الحضور!$D14)</f>
        <v>الجودة</v>
      </c>
      <c r="E13" s="86">
        <f>IF($B13="","",الحضور!$I14)</f>
        <v>0.81818181818181823</v>
      </c>
      <c r="F13" s="51">
        <f>IF($B13="","",الحضور!$G14)</f>
        <v>0</v>
      </c>
      <c r="G13" s="51">
        <f>IF($B13="","",التجميع!$P12)</f>
        <v>0</v>
      </c>
      <c r="H13" s="51">
        <f>IF($B13="","",MAX(التجميع!$R12,التجميع!$S12))</f>
        <v>0</v>
      </c>
      <c r="I13" s="64">
        <f>IF($B13="","",الحضور!$J14)</f>
        <v>35</v>
      </c>
      <c r="J13" s="87" t="str">
        <f>IF($B13="","",IF($H13&gt;الإعدادات!$C$36,"تجاوز حد الإنهاء — غياب متصل",IF($G13&gt;الإعدادات!$C$37,"تجاوز حد الإنهاء — غياب متقطع",IF($H13&gt;=الإعدادات!$C$34,"إنذار كتابي واجب — غياب متصل",IF($G13&gt;=الإعدادات!$C$35,"إنذار كتابي واجب — غياب متقطع",IF(AND($E13&lt;&gt;"",$E13&lt;0.9),"متابعة — التزام أقل من 90٪","—"))))))</f>
        <v>متابعة — التزام أقل من 90٪</v>
      </c>
      <c r="K13" s="61" t="str">
        <f t="shared" si="0"/>
        <v>مقابلة تصحيحية موثقة مع المدير المباشر</v>
      </c>
    </row>
    <row r="14" spans="1:11" ht="18" customHeight="1" x14ac:dyDescent="0.35">
      <c r="A14" s="18">
        <v>8</v>
      </c>
      <c r="B14" s="62" t="str">
        <f>IF(الحضور!$B15="","",الحضور!$B15)</f>
        <v>EMP-008</v>
      </c>
      <c r="C14" s="61" t="str">
        <f>IF($B14="","",الحضور!$C15)</f>
        <v>بندر الغامدي</v>
      </c>
      <c r="D14" s="62" t="str">
        <f>IF($B14="","",الحضور!$D15)</f>
        <v>الجودة</v>
      </c>
      <c r="E14" s="86">
        <f>IF($B14="","",الحضور!$I15)</f>
        <v>0.84090909090909094</v>
      </c>
      <c r="F14" s="51">
        <f>IF($B14="","",الحضور!$G15)</f>
        <v>2</v>
      </c>
      <c r="G14" s="51">
        <f>IF($B14="","",التجميع!$P13)</f>
        <v>2</v>
      </c>
      <c r="H14" s="51">
        <f>IF($B14="","",MAX(التجميع!$R13,التجميع!$S13))</f>
        <v>1</v>
      </c>
      <c r="I14" s="64">
        <f>IF($B14="","",الحضور!$J15)</f>
        <v>70</v>
      </c>
      <c r="J14" s="87" t="str">
        <f>IF($B14="","",IF($H14&gt;الإعدادات!$C$36,"تجاوز حد الإنهاء — غياب متصل",IF($G14&gt;الإعدادات!$C$37,"تجاوز حد الإنهاء — غياب متقطع",IF($H14&gt;=الإعدادات!$C$34,"إنذار كتابي واجب — غياب متصل",IF($G14&gt;=الإعدادات!$C$35,"إنذار كتابي واجب — غياب متقطع",IF(AND($E14&lt;&gt;"",$E14&lt;0.9),"متابعة — التزام أقل من 90٪","—"))))))</f>
        <v>متابعة — التزام أقل من 90٪</v>
      </c>
      <c r="K14" s="61" t="str">
        <f t="shared" si="0"/>
        <v>مقابلة تصحيحية موثقة مع المدير المباشر</v>
      </c>
    </row>
    <row r="15" spans="1:11" ht="18" customHeight="1" x14ac:dyDescent="0.35">
      <c r="A15" s="18">
        <v>9</v>
      </c>
      <c r="B15" s="62" t="str">
        <f>IF(الحضور!$B16="","",الحضور!$B16)</f>
        <v>EMP-009</v>
      </c>
      <c r="C15" s="61" t="str">
        <f>IF($B15="","",الحضور!$C16)</f>
        <v>عمر شعبان النجار</v>
      </c>
      <c r="D15" s="62" t="str">
        <f>IF($B15="","",الحضور!$D16)</f>
        <v>الإنتاج</v>
      </c>
      <c r="E15" s="86">
        <f>IF($B15="","",الحضور!$I16)</f>
        <v>0.63636363636363635</v>
      </c>
      <c r="F15" s="51">
        <f>IF($B15="","",الحضور!$G16)</f>
        <v>8</v>
      </c>
      <c r="G15" s="51">
        <f>IF($B15="","",التجميع!$P14)</f>
        <v>8</v>
      </c>
      <c r="H15" s="51">
        <f>IF($B15="","",MAX(التجميع!$R14,التجميع!$S14))</f>
        <v>10</v>
      </c>
      <c r="I15" s="64">
        <f>IF($B15="","",الحضور!$J16)</f>
        <v>262</v>
      </c>
      <c r="J15" s="87" t="str">
        <f>IF($B15="","",IF($H15&gt;الإعدادات!$C$36,"تجاوز حد الإنهاء — غياب متصل",IF($G15&gt;الإعدادات!$C$37,"تجاوز حد الإنهاء — غياب متقطع",IF($H15&gt;=الإعدادات!$C$34,"إنذار كتابي واجب — غياب متصل",IF($G15&gt;=الإعدادات!$C$35,"إنذار كتابي واجب — غياب متقطع",IF(AND($E15&lt;&gt;"",$E15&lt;0.9),"متابعة — التزام أقل من 90٪","—"))))))</f>
        <v>إنذار كتابي واجب — غياب متصل</v>
      </c>
      <c r="K15" s="61" t="str">
        <f t="shared" si="0"/>
        <v>إصدار إنذار كتابي فوراً وتوثيقه في ملف الموظف — ورقة «الإنذار»</v>
      </c>
    </row>
    <row r="16" spans="1:11" ht="18" customHeight="1" x14ac:dyDescent="0.35">
      <c r="A16" s="18">
        <v>10</v>
      </c>
      <c r="B16" s="62" t="str">
        <f>IF(الحضور!$B17="","",الحضور!$B17)</f>
        <v>EMP-010</v>
      </c>
      <c r="C16" s="61" t="str">
        <f>IF($B16="","",الحضور!$C17)</f>
        <v>ماجد الدوسري</v>
      </c>
      <c r="D16" s="62" t="str">
        <f>IF($B16="","",الحضور!$D17)</f>
        <v>الإنتاج</v>
      </c>
      <c r="E16" s="86">
        <f>IF($B16="","",الحضور!$I17)</f>
        <v>0.88636363636363635</v>
      </c>
      <c r="F16" s="51">
        <f>IF($B16="","",الحضور!$G17)</f>
        <v>0</v>
      </c>
      <c r="G16" s="51">
        <f>IF($B16="","",التجميع!$P15)</f>
        <v>0</v>
      </c>
      <c r="H16" s="51">
        <f>IF($B16="","",MAX(التجميع!$R15,التجميع!$S15))</f>
        <v>0</v>
      </c>
      <c r="I16" s="64">
        <f>IF($B16="","",الحضور!$J17)</f>
        <v>120</v>
      </c>
      <c r="J16" s="87" t="str">
        <f>IF($B16="","",IF($H16&gt;الإعدادات!$C$36,"تجاوز حد الإنهاء — غياب متصل",IF($G16&gt;الإعدادات!$C$37,"تجاوز حد الإنهاء — غياب متقطع",IF($H16&gt;=الإعدادات!$C$34,"إنذار كتابي واجب — غياب متصل",IF($G16&gt;=الإعدادات!$C$35,"إنذار كتابي واجب — غياب متقطع",IF(AND($E16&lt;&gt;"",$E16&lt;0.9),"متابعة — التزام أقل من 90٪","—"))))))</f>
        <v>متابعة — التزام أقل من 90٪</v>
      </c>
      <c r="K16" s="61" t="str">
        <f t="shared" si="0"/>
        <v>مقابلة تصحيحية موثقة مع المدير المباشر</v>
      </c>
    </row>
    <row r="17" spans="1:11" ht="18" customHeight="1" x14ac:dyDescent="0.35">
      <c r="A17" s="18">
        <v>11</v>
      </c>
      <c r="B17" s="62" t="str">
        <f>IF(الحضور!$B18="","",الحضور!$B18)</f>
        <v>EMP-011</v>
      </c>
      <c r="C17" s="61" t="str">
        <f>IF($B17="","",الحضور!$C18)</f>
        <v>هبة رمضان عبد الحميد</v>
      </c>
      <c r="D17" s="62" t="str">
        <f>IF($B17="","",الحضور!$D18)</f>
        <v>الإنتاج</v>
      </c>
      <c r="E17" s="86">
        <f>IF($B17="","",الحضور!$I18)</f>
        <v>0.95454545454545459</v>
      </c>
      <c r="F17" s="51">
        <f>IF($B17="","",الحضور!$G18)</f>
        <v>0</v>
      </c>
      <c r="G17" s="51">
        <f>IF($B17="","",التجميع!$P16)</f>
        <v>0</v>
      </c>
      <c r="H17" s="51">
        <f>IF($B17="","",MAX(التجميع!$R16,التجميع!$S16))</f>
        <v>0</v>
      </c>
      <c r="I17" s="64">
        <f>IF($B17="","",الحضور!$J18)</f>
        <v>132</v>
      </c>
      <c r="J17" s="87" t="str">
        <f>IF($B17="","",IF($H17&gt;الإعدادات!$C$36,"تجاوز حد الإنهاء — غياب متصل",IF($G17&gt;الإعدادات!$C$37,"تجاوز حد الإنهاء — غياب متقطع",IF($H17&gt;=الإعدادات!$C$34,"إنذار كتابي واجب — غياب متصل",IF($G17&gt;=الإعدادات!$C$35,"إنذار كتابي واجب — غياب متقطع",IF(AND($E17&lt;&gt;"",$E17&lt;0.9),"متابعة — التزام أقل من 90٪","—"))))))</f>
        <v>—</v>
      </c>
      <c r="K17" s="61" t="str">
        <f t="shared" si="0"/>
        <v/>
      </c>
    </row>
    <row r="18" spans="1:11" ht="18" customHeight="1" x14ac:dyDescent="0.35">
      <c r="A18" s="18">
        <v>12</v>
      </c>
      <c r="B18" s="62" t="str">
        <f>IF(الحضور!$B19="","",الحضور!$B19)</f>
        <v>EMP-012</v>
      </c>
      <c r="C18" s="61" t="str">
        <f>IF($B18="","",الحضور!$C19)</f>
        <v>نورة العمري</v>
      </c>
      <c r="D18" s="62" t="str">
        <f>IF($B18="","",الحضور!$D19)</f>
        <v>الإنتاج</v>
      </c>
      <c r="E18" s="86">
        <f>IF($B18="","",الحضور!$I19)</f>
        <v>0.72727272727272729</v>
      </c>
      <c r="F18" s="51">
        <f>IF($B18="","",الحضور!$G19)</f>
        <v>1</v>
      </c>
      <c r="G18" s="51">
        <f>IF($B18="","",التجميع!$P17)</f>
        <v>1</v>
      </c>
      <c r="H18" s="51">
        <f>IF($B18="","",MAX(التجميع!$R17,التجميع!$S17))</f>
        <v>1</v>
      </c>
      <c r="I18" s="64">
        <f>IF($B18="","",الحضور!$J19)</f>
        <v>40</v>
      </c>
      <c r="J18" s="87" t="str">
        <f>IF($B18="","",IF($H18&gt;الإعدادات!$C$36,"تجاوز حد الإنهاء — غياب متصل",IF($G18&gt;الإعدادات!$C$37,"تجاوز حد الإنهاء — غياب متقطع",IF($H18&gt;=الإعدادات!$C$34,"إنذار كتابي واجب — غياب متصل",IF($G18&gt;=الإعدادات!$C$35,"إنذار كتابي واجب — غياب متقطع",IF(AND($E18&lt;&gt;"",$E18&lt;0.9),"متابعة — التزام أقل من 90٪","—"))))))</f>
        <v>متابعة — التزام أقل من 90٪</v>
      </c>
      <c r="K18" s="61" t="str">
        <f t="shared" si="0"/>
        <v>مقابلة تصحيحية موثقة مع المدير المباشر</v>
      </c>
    </row>
    <row r="19" spans="1:11" ht="18" customHeight="1" x14ac:dyDescent="0.35">
      <c r="A19" s="18">
        <v>13</v>
      </c>
      <c r="B19" s="62" t="str">
        <f>IF(الحضور!$B20="","",الحضور!$B20)</f>
        <v>EMP-013</v>
      </c>
      <c r="C19" s="61" t="str">
        <f>IF($B19="","",الحضور!$C20)</f>
        <v>داليا فؤاد الشناوي</v>
      </c>
      <c r="D19" s="62" t="str">
        <f>IF($B19="","",الحضور!$D20)</f>
        <v>الإنتاج</v>
      </c>
      <c r="E19" s="86">
        <f>IF($B19="","",الحضور!$I20)</f>
        <v>1</v>
      </c>
      <c r="F19" s="51">
        <f>IF($B19="","",الحضور!$G20)</f>
        <v>0</v>
      </c>
      <c r="G19" s="51">
        <f>IF($B19="","",التجميع!$P18)</f>
        <v>0</v>
      </c>
      <c r="H19" s="51">
        <f>IF($B19="","",MAX(التجميع!$R18,التجميع!$S18))</f>
        <v>0</v>
      </c>
      <c r="I19" s="64">
        <f>IF($B19="","",الحضور!$J20)</f>
        <v>25</v>
      </c>
      <c r="J19" s="87" t="str">
        <f>IF($B19="","",IF($H19&gt;الإعدادات!$C$36,"تجاوز حد الإنهاء — غياب متصل",IF($G19&gt;الإعدادات!$C$37,"تجاوز حد الإنهاء — غياب متقطع",IF($H19&gt;=الإعدادات!$C$34,"إنذار كتابي واجب — غياب متصل",IF($G19&gt;=الإعدادات!$C$35,"إنذار كتابي واجب — غياب متقطع",IF(AND($E19&lt;&gt;"",$E19&lt;0.9),"متابعة — التزام أقل من 90٪","—"))))))</f>
        <v>—</v>
      </c>
      <c r="K19" s="61" t="str">
        <f t="shared" si="0"/>
        <v/>
      </c>
    </row>
    <row r="20" spans="1:11" ht="18" customHeight="1" x14ac:dyDescent="0.35">
      <c r="A20" s="18">
        <v>14</v>
      </c>
      <c r="B20" s="62" t="str">
        <f>IF(الحضور!$B21="","",الحضور!$B21)</f>
        <v>EMP-014</v>
      </c>
      <c r="C20" s="61" t="str">
        <f>IF($B20="","",الحضور!$C21)</f>
        <v>لطيفة الشهري</v>
      </c>
      <c r="D20" s="62" t="str">
        <f>IF($B20="","",الحضور!$D21)</f>
        <v>السلامة والصحة</v>
      </c>
      <c r="E20" s="86">
        <f>IF($B20="","",الحضور!$I21)</f>
        <v>1</v>
      </c>
      <c r="F20" s="51">
        <f>IF($B20="","",الحضور!$G21)</f>
        <v>0</v>
      </c>
      <c r="G20" s="51">
        <f>IF($B20="","",التجميع!$P19)</f>
        <v>0</v>
      </c>
      <c r="H20" s="51">
        <f>IF($B20="","",MAX(التجميع!$R19,التجميع!$S19))</f>
        <v>0</v>
      </c>
      <c r="I20" s="64">
        <f>IF($B20="","",الحضور!$J21)</f>
        <v>0</v>
      </c>
      <c r="J20" s="87" t="str">
        <f>IF($B20="","",IF($H20&gt;الإعدادات!$C$36,"تجاوز حد الإنهاء — غياب متصل",IF($G20&gt;الإعدادات!$C$37,"تجاوز حد الإنهاء — غياب متقطع",IF($H20&gt;=الإعدادات!$C$34,"إنذار كتابي واجب — غياب متصل",IF($G20&gt;=الإعدادات!$C$35,"إنذار كتابي واجب — غياب متقطع",IF(AND($E20&lt;&gt;"",$E20&lt;0.9),"متابعة — التزام أقل من 90٪","—"))))))</f>
        <v>—</v>
      </c>
      <c r="K20" s="61" t="str">
        <f t="shared" si="0"/>
        <v/>
      </c>
    </row>
    <row r="21" spans="1:11" ht="18" customHeight="1" x14ac:dyDescent="0.35">
      <c r="A21" s="18">
        <v>15</v>
      </c>
      <c r="B21" s="62" t="str">
        <f>IF(الحضور!$B22="","",الحضور!$B22)</f>
        <v>EMP-015</v>
      </c>
      <c r="C21" s="61" t="str">
        <f>IF($B21="","",الحضور!$C22)</f>
        <v>سارة الشريف عبد الله</v>
      </c>
      <c r="D21" s="62" t="str">
        <f>IF($B21="","",الحضور!$D22)</f>
        <v>السلامة والصحة</v>
      </c>
      <c r="E21" s="86">
        <f>IF($B21="","",الحضور!$I22)</f>
        <v>0.54545454545454541</v>
      </c>
      <c r="F21" s="51">
        <f>IF($B21="","",الحضور!$G22)</f>
        <v>0</v>
      </c>
      <c r="G21" s="51">
        <f>IF($B21="","",التجميع!$P20)</f>
        <v>0</v>
      </c>
      <c r="H21" s="51">
        <f>IF($B21="","",MAX(التجميع!$R20,التجميع!$S20))</f>
        <v>0</v>
      </c>
      <c r="I21" s="64">
        <f>IF($B21="","",الحضور!$J22)</f>
        <v>424</v>
      </c>
      <c r="J21" s="87" t="str">
        <f>IF($B21="","",IF($H21&gt;الإعدادات!$C$36,"تجاوز حد الإنهاء — غياب متصل",IF($G21&gt;الإعدادات!$C$37,"تجاوز حد الإنهاء — غياب متقطع",IF($H21&gt;=الإعدادات!$C$34,"إنذار كتابي واجب — غياب متصل",IF($G21&gt;=الإعدادات!$C$35,"إنذار كتابي واجب — غياب متقطع",IF(AND($E21&lt;&gt;"",$E21&lt;0.9),"متابعة — التزام أقل من 90٪","—"))))))</f>
        <v>متابعة — التزام أقل من 90٪</v>
      </c>
      <c r="K21" s="61" t="str">
        <f t="shared" si="0"/>
        <v>مقابلة تصحيحية موثقة مع المدير المباشر</v>
      </c>
    </row>
    <row r="22" spans="1:11" ht="18" customHeight="1" x14ac:dyDescent="0.35">
      <c r="A22" s="18">
        <v>16</v>
      </c>
      <c r="B22" s="62" t="str">
        <f>IF(الحضور!$B23="","",الحضور!$B23)</f>
        <v>EMP-016</v>
      </c>
      <c r="C22" s="61" t="str">
        <f>IF($B22="","",الحضور!$C23)</f>
        <v>ريم القحطاني</v>
      </c>
      <c r="D22" s="62" t="str">
        <f>IF($B22="","",الحضور!$D23)</f>
        <v>السلامة والصحة</v>
      </c>
      <c r="E22" s="86">
        <f>IF($B22="","",الحضور!$I23)</f>
        <v>0.95454545454545459</v>
      </c>
      <c r="F22" s="51">
        <f>IF($B22="","",الحضور!$G23)</f>
        <v>0</v>
      </c>
      <c r="G22" s="51">
        <f>IF($B22="","",التجميع!$P21)</f>
        <v>0</v>
      </c>
      <c r="H22" s="51">
        <f>IF($B22="","",MAX(التجميع!$R21,التجميع!$S21))</f>
        <v>0</v>
      </c>
      <c r="I22" s="64">
        <f>IF($B22="","",الحضور!$J23)</f>
        <v>80</v>
      </c>
      <c r="J22" s="87" t="str">
        <f>IF($B22="","",IF($H22&gt;الإعدادات!$C$36,"تجاوز حد الإنهاء — غياب متصل",IF($G22&gt;الإعدادات!$C$37,"تجاوز حد الإنهاء — غياب متقطع",IF($H22&gt;=الإعدادات!$C$34,"إنذار كتابي واجب — غياب متصل",IF($G22&gt;=الإعدادات!$C$35,"إنذار كتابي واجب — غياب متقطع",IF(AND($E22&lt;&gt;"",$E22&lt;0.9),"متابعة — التزام أقل من 90٪","—"))))))</f>
        <v>—</v>
      </c>
      <c r="K22" s="61" t="str">
        <f t="shared" si="0"/>
        <v/>
      </c>
    </row>
    <row r="23" spans="1:11" ht="18" customHeight="1" x14ac:dyDescent="0.35">
      <c r="A23" s="18">
        <v>17</v>
      </c>
      <c r="B23" s="62" t="str">
        <f>IF(الحضور!$B24="","",الحضور!$B24)</f>
        <v>EMP-017</v>
      </c>
      <c r="C23" s="61" t="str">
        <f>IF($B23="","",الحضور!$C24)</f>
        <v>منى الغزالي</v>
      </c>
      <c r="D23" s="62" t="str">
        <f>IF($B23="","",الحضور!$D24)</f>
        <v>الصيانة</v>
      </c>
      <c r="E23" s="86">
        <f>IF($B23="","",الحضور!$I24)</f>
        <v>0.81818181818181823</v>
      </c>
      <c r="F23" s="51">
        <f>IF($B23="","",الحضور!$G24)</f>
        <v>1</v>
      </c>
      <c r="G23" s="51">
        <f>IF($B23="","",التجميع!$P22)</f>
        <v>1</v>
      </c>
      <c r="H23" s="51">
        <f>IF($B23="","",MAX(التجميع!$R22,التجميع!$S22))</f>
        <v>3</v>
      </c>
      <c r="I23" s="64">
        <f>IF($B23="","",الحضور!$J24)</f>
        <v>5</v>
      </c>
      <c r="J23" s="87" t="str">
        <f>IF($B23="","",IF($H23&gt;الإعدادات!$C$36,"تجاوز حد الإنهاء — غياب متصل",IF($G23&gt;الإعدادات!$C$37,"تجاوز حد الإنهاء — غياب متقطع",IF($H23&gt;=الإعدادات!$C$34,"إنذار كتابي واجب — غياب متصل",IF($G23&gt;=الإعدادات!$C$35,"إنذار كتابي واجب — غياب متقطع",IF(AND($E23&lt;&gt;"",$E23&lt;0.9),"متابعة — التزام أقل من 90٪","—"))))))</f>
        <v>متابعة — التزام أقل من 90٪</v>
      </c>
      <c r="K23" s="61" t="str">
        <f t="shared" si="0"/>
        <v>مقابلة تصحيحية موثقة مع المدير المباشر</v>
      </c>
    </row>
    <row r="24" spans="1:11" ht="18" customHeight="1" x14ac:dyDescent="0.35">
      <c r="A24" s="18">
        <v>18</v>
      </c>
      <c r="B24" s="62" t="str">
        <f>IF(الحضور!$B25="","",الحضور!$B25)</f>
        <v>EMP-018</v>
      </c>
      <c r="C24" s="61" t="str">
        <f>IF($B24="","",الحضور!$C25)</f>
        <v>هيا الغانم</v>
      </c>
      <c r="D24" s="62" t="str">
        <f>IF($B24="","",الحضور!$D25)</f>
        <v>الصيانة</v>
      </c>
      <c r="E24" s="86">
        <f>IF($B24="","",الحضور!$I25)</f>
        <v>0.65909090909090906</v>
      </c>
      <c r="F24" s="51">
        <f>IF($B24="","",الحضور!$G25)</f>
        <v>5</v>
      </c>
      <c r="G24" s="51">
        <f>IF($B24="","",التجميع!$P23)</f>
        <v>5</v>
      </c>
      <c r="H24" s="51">
        <f>IF($B24="","",MAX(التجميع!$R23,التجميع!$S23))</f>
        <v>2</v>
      </c>
      <c r="I24" s="64">
        <f>IF($B24="","",الحضور!$J25)</f>
        <v>127</v>
      </c>
      <c r="J24" s="87" t="str">
        <f>IF($B24="","",IF($H24&gt;الإعدادات!$C$36,"تجاوز حد الإنهاء — غياب متصل",IF($G24&gt;الإعدادات!$C$37,"تجاوز حد الإنهاء — غياب متقطع",IF($H24&gt;=الإعدادات!$C$34,"إنذار كتابي واجب — غياب متصل",IF($G24&gt;=الإعدادات!$C$35,"إنذار كتابي واجب — غياب متقطع",IF(AND($E24&lt;&gt;"",$E24&lt;0.9),"متابعة — التزام أقل من 90٪","—"))))))</f>
        <v>متابعة — التزام أقل من 90٪</v>
      </c>
      <c r="K24" s="61" t="str">
        <f t="shared" si="0"/>
        <v>مقابلة تصحيحية موثقة مع المدير المباشر</v>
      </c>
    </row>
    <row r="25" spans="1:11" ht="18" customHeight="1" x14ac:dyDescent="0.35">
      <c r="A25" s="18">
        <v>19</v>
      </c>
      <c r="B25" s="62" t="str">
        <f>IF(الحضور!$B26="","",الحضور!$B26)</f>
        <v>EMP-019</v>
      </c>
      <c r="C25" s="61" t="str">
        <f>IF($B25="","",الحضور!$C26)</f>
        <v>رانيا الخولي</v>
      </c>
      <c r="D25" s="62" t="str">
        <f>IF($B25="","",الحضور!$D26)</f>
        <v>الصيانة</v>
      </c>
      <c r="E25" s="86">
        <f>IF($B25="","",الحضور!$I26)</f>
        <v>1</v>
      </c>
      <c r="F25" s="51">
        <f>IF($B25="","",الحضور!$G26)</f>
        <v>0</v>
      </c>
      <c r="G25" s="51">
        <f>IF($B25="","",التجميع!$P24)</f>
        <v>0</v>
      </c>
      <c r="H25" s="51">
        <f>IF($B25="","",MAX(التجميع!$R24,التجميع!$S24))</f>
        <v>0</v>
      </c>
      <c r="I25" s="64">
        <f>IF($B25="","",الحضور!$J26)</f>
        <v>157</v>
      </c>
      <c r="J25" s="87" t="str">
        <f>IF($B25="","",IF($H25&gt;الإعدادات!$C$36,"تجاوز حد الإنهاء — غياب متصل",IF($G25&gt;الإعدادات!$C$37,"تجاوز حد الإنهاء — غياب متقطع",IF($H25&gt;=الإعدادات!$C$34,"إنذار كتابي واجب — غياب متصل",IF($G25&gt;=الإعدادات!$C$35,"إنذار كتابي واجب — غياب متقطع",IF(AND($E25&lt;&gt;"",$E25&lt;0.9),"متابعة — التزام أقل من 90٪","—"))))))</f>
        <v>—</v>
      </c>
      <c r="K25" s="61" t="str">
        <f t="shared" si="0"/>
        <v/>
      </c>
    </row>
    <row r="26" spans="1:11" ht="18" customHeight="1" x14ac:dyDescent="0.35">
      <c r="A26" s="18">
        <v>20</v>
      </c>
      <c r="B26" s="62" t="str">
        <f>IF(الحضور!$B27="","",الحضور!$B27)</f>
        <v>EMP-020</v>
      </c>
      <c r="C26" s="61" t="str">
        <f>IF($B26="","",الحضور!$C27)</f>
        <v>أروى العسيري</v>
      </c>
      <c r="D26" s="62" t="str">
        <f>IF($B26="","",الحضور!$D27)</f>
        <v>الصيانة</v>
      </c>
      <c r="E26" s="86">
        <f>IF($B26="","",الحضور!$I27)</f>
        <v>0.95454545454545459</v>
      </c>
      <c r="F26" s="51">
        <f>IF($B26="","",الحضور!$G27)</f>
        <v>0</v>
      </c>
      <c r="G26" s="51">
        <f>IF($B26="","",التجميع!$P25)</f>
        <v>0</v>
      </c>
      <c r="H26" s="51">
        <f>IF($B26="","",MAX(التجميع!$R25,التجميع!$S25))</f>
        <v>0</v>
      </c>
      <c r="I26" s="64">
        <f>IF($B26="","",الحضور!$J27)</f>
        <v>55</v>
      </c>
      <c r="J26" s="87" t="str">
        <f>IF($B26="","",IF($H26&gt;الإعدادات!$C$36,"تجاوز حد الإنهاء — غياب متصل",IF($G26&gt;الإعدادات!$C$37,"تجاوز حد الإنهاء — غياب متقطع",IF($H26&gt;=الإعدادات!$C$34,"إنذار كتابي واجب — غياب متصل",IF($G26&gt;=الإعدادات!$C$35,"إنذار كتابي واجب — غياب متقطع",IF(AND($E26&lt;&gt;"",$E26&lt;0.9),"متابعة — التزام أقل من 90٪","—"))))))</f>
        <v>—</v>
      </c>
      <c r="K26" s="61" t="str">
        <f t="shared" si="0"/>
        <v/>
      </c>
    </row>
    <row r="27" spans="1:11" ht="18" customHeight="1" x14ac:dyDescent="0.35">
      <c r="A27" s="18">
        <v>21</v>
      </c>
      <c r="B27" s="62" t="str">
        <f>IF(الحضور!$B28="","",الحضور!$B28)</f>
        <v>EMP-021</v>
      </c>
      <c r="C27" s="61" t="str">
        <f>IF($B27="","",الحضور!$C28)</f>
        <v>مصطفى فهمي عبد الجواد</v>
      </c>
      <c r="D27" s="62" t="str">
        <f>IF($B27="","",الحضور!$D28)</f>
        <v>المستودع</v>
      </c>
      <c r="E27" s="86">
        <f>IF($B27="","",الحضور!$I28)</f>
        <v>0.86363636363636365</v>
      </c>
      <c r="F27" s="51">
        <f>IF($B27="","",الحضور!$G28)</f>
        <v>0</v>
      </c>
      <c r="G27" s="51">
        <f>IF($B27="","",التجميع!$P26)</f>
        <v>0</v>
      </c>
      <c r="H27" s="51">
        <f>IF($B27="","",MAX(التجميع!$R26,التجميع!$S26))</f>
        <v>0</v>
      </c>
      <c r="I27" s="64">
        <f>IF($B27="","",الحضور!$J28)</f>
        <v>150</v>
      </c>
      <c r="J27" s="87" t="str">
        <f>IF($B27="","",IF($H27&gt;الإعدادات!$C$36,"تجاوز حد الإنهاء — غياب متصل",IF($G27&gt;الإعدادات!$C$37,"تجاوز حد الإنهاء — غياب متقطع",IF($H27&gt;=الإعدادات!$C$34,"إنذار كتابي واجب — غياب متصل",IF($G27&gt;=الإعدادات!$C$35,"إنذار كتابي واجب — غياب متقطع",IF(AND($E27&lt;&gt;"",$E27&lt;0.9),"متابعة — التزام أقل من 90٪","—"))))))</f>
        <v>متابعة — التزام أقل من 90٪</v>
      </c>
      <c r="K27" s="61" t="str">
        <f t="shared" si="0"/>
        <v>مقابلة تصحيحية موثقة مع المدير المباشر</v>
      </c>
    </row>
    <row r="28" spans="1:11" ht="18" customHeight="1" x14ac:dyDescent="0.35">
      <c r="A28" s="18">
        <v>22</v>
      </c>
      <c r="B28" s="62" t="str">
        <f>IF(الحضور!$B29="","",الحضور!$B29)</f>
        <v>EMP-022</v>
      </c>
      <c r="C28" s="61" t="str">
        <f>IF($B28="","",الحضور!$C29)</f>
        <v>تركي العنزي</v>
      </c>
      <c r="D28" s="62" t="str">
        <f>IF($B28="","",الحضور!$D29)</f>
        <v>المستودع</v>
      </c>
      <c r="E28" s="86">
        <f>IF($B28="","",الحضور!$I29)</f>
        <v>0.40909090909090912</v>
      </c>
      <c r="F28" s="51">
        <f>IF($B28="","",الحضور!$G29)</f>
        <v>13</v>
      </c>
      <c r="G28" s="51">
        <f>IF($B28="","",التجميع!$P27)</f>
        <v>13</v>
      </c>
      <c r="H28" s="51">
        <f>IF($B28="","",MAX(التجميع!$R27,التجميع!$S27))</f>
        <v>16</v>
      </c>
      <c r="I28" s="64">
        <f>IF($B28="","",الحضور!$J29)</f>
        <v>42</v>
      </c>
      <c r="J28" s="87" t="str">
        <f>IF($B28="","",IF($H28&gt;الإعدادات!$C$36,"تجاوز حد الإنهاء — غياب متصل",IF($G28&gt;الإعدادات!$C$37,"تجاوز حد الإنهاء — غياب متقطع",IF($H28&gt;=الإعدادات!$C$34,"إنذار كتابي واجب — غياب متصل",IF($G28&gt;=الإعدادات!$C$35,"إنذار كتابي واجب — غياب متقطع",IF(AND($E28&lt;&gt;"",$E28&lt;0.9),"متابعة — التزام أقل من 90٪","—"))))))</f>
        <v>تجاوز حد الإنهاء — غياب متصل</v>
      </c>
      <c r="K28" s="61" t="str">
        <f t="shared" si="0"/>
        <v>إنهاء وفق المادة 80 — يشترط سبق الإنذار الكتابي وتوثيقه</v>
      </c>
    </row>
    <row r="29" spans="1:11" ht="18" customHeight="1" x14ac:dyDescent="0.35">
      <c r="A29" s="18">
        <v>23</v>
      </c>
      <c r="B29" s="62" t="str">
        <f>IF(الحضور!$B30="","",الحضور!$B30)</f>
        <v>EMP-023</v>
      </c>
      <c r="C29" s="61" t="str">
        <f>IF($B29="","",الحضور!$C30)</f>
        <v>تامر النجار</v>
      </c>
      <c r="D29" s="62" t="str">
        <f>IF($B29="","",الحضور!$D30)</f>
        <v>المستودع</v>
      </c>
      <c r="E29" s="86">
        <f>IF($B29="","",الحضور!$I30)</f>
        <v>1</v>
      </c>
      <c r="F29" s="51">
        <f>IF($B29="","",الحضور!$G30)</f>
        <v>0</v>
      </c>
      <c r="G29" s="51">
        <f>IF($B29="","",التجميع!$P28)</f>
        <v>0</v>
      </c>
      <c r="H29" s="51">
        <f>IF($B29="","",MAX(التجميع!$R28,التجميع!$S28))</f>
        <v>0</v>
      </c>
      <c r="I29" s="64">
        <f>IF($B29="","",الحضور!$J30)</f>
        <v>17</v>
      </c>
      <c r="J29" s="87" t="str">
        <f>IF($B29="","",IF($H29&gt;الإعدادات!$C$36,"تجاوز حد الإنهاء — غياب متصل",IF($G29&gt;الإعدادات!$C$37,"تجاوز حد الإنهاء — غياب متقطع",IF($H29&gt;=الإعدادات!$C$34,"إنذار كتابي واجب — غياب متصل",IF($G29&gt;=الإعدادات!$C$35,"إنذار كتابي واجب — غياب متقطع",IF(AND($E29&lt;&gt;"",$E29&lt;0.9),"متابعة — التزام أقل من 90٪","—"))))))</f>
        <v>—</v>
      </c>
      <c r="K29" s="61" t="str">
        <f t="shared" si="0"/>
        <v/>
      </c>
    </row>
    <row r="30" spans="1:11" ht="18" customHeight="1" x14ac:dyDescent="0.35">
      <c r="A30" s="18">
        <v>24</v>
      </c>
      <c r="B30" s="62" t="str">
        <f>IF(الحضور!$B31="","",الحضور!$B31)</f>
        <v>EMP-024</v>
      </c>
      <c r="C30" s="61" t="str">
        <f>IF($B30="","",الحضور!$C31)</f>
        <v>نايف السبيعي</v>
      </c>
      <c r="D30" s="62" t="str">
        <f>IF($B30="","",الحضور!$D31)</f>
        <v>المستودع</v>
      </c>
      <c r="E30" s="86">
        <f>IF($B30="","",الحضور!$I31)</f>
        <v>0.95454545454545459</v>
      </c>
      <c r="F30" s="51">
        <f>IF($B30="","",الحضور!$G31)</f>
        <v>0</v>
      </c>
      <c r="G30" s="51">
        <f>IF($B30="","",التجميع!$P29)</f>
        <v>0</v>
      </c>
      <c r="H30" s="51">
        <f>IF($B30="","",MAX(التجميع!$R29,التجميع!$S29))</f>
        <v>0</v>
      </c>
      <c r="I30" s="64">
        <f>IF($B30="","",الحضور!$J31)</f>
        <v>17</v>
      </c>
      <c r="J30" s="87" t="str">
        <f>IF($B30="","",IF($H30&gt;الإعدادات!$C$36,"تجاوز حد الإنهاء — غياب متصل",IF($G30&gt;الإعدادات!$C$37,"تجاوز حد الإنهاء — غياب متقطع",IF($H30&gt;=الإعدادات!$C$34,"إنذار كتابي واجب — غياب متصل",IF($G30&gt;=الإعدادات!$C$35,"إنذار كتابي واجب — غياب متقطع",IF(AND($E30&lt;&gt;"",$E30&lt;0.9),"متابعة — التزام أقل من 90٪","—"))))))</f>
        <v>—</v>
      </c>
      <c r="K30" s="61" t="str">
        <f t="shared" si="0"/>
        <v/>
      </c>
    </row>
    <row r="31" spans="1:11" ht="18" customHeight="1" x14ac:dyDescent="0.35">
      <c r="A31" s="18">
        <v>25</v>
      </c>
      <c r="B31" s="62" t="str">
        <f>IF(الحضور!$B32="","",الحضور!$B32)</f>
        <v>EMP-025</v>
      </c>
      <c r="C31" s="61" t="str">
        <f>IF($B31="","",الحضور!$C32)</f>
        <v>إيمان صابر رفعت</v>
      </c>
      <c r="D31" s="62" t="str">
        <f>IF($B31="","",الحضور!$D32)</f>
        <v>الإدارة</v>
      </c>
      <c r="E31" s="86">
        <f>IF($B31="","",الحضور!$I32)</f>
        <v>0.95454545454545459</v>
      </c>
      <c r="F31" s="51">
        <f>IF($B31="","",الحضور!$G32)</f>
        <v>0</v>
      </c>
      <c r="G31" s="51">
        <f>IF($B31="","",التجميع!$P30)</f>
        <v>0</v>
      </c>
      <c r="H31" s="51">
        <f>IF($B31="","",MAX(التجميع!$R30,التجميع!$S30))</f>
        <v>0</v>
      </c>
      <c r="I31" s="64">
        <f>IF($B31="","",الحضور!$J32)</f>
        <v>5</v>
      </c>
      <c r="J31" s="87" t="str">
        <f>IF($B31="","",IF($H31&gt;الإعدادات!$C$36,"تجاوز حد الإنهاء — غياب متصل",IF($G31&gt;الإعدادات!$C$37,"تجاوز حد الإنهاء — غياب متقطع",IF($H31&gt;=الإعدادات!$C$34,"إنذار كتابي واجب — غياب متصل",IF($G31&gt;=الإعدادات!$C$35,"إنذار كتابي واجب — غياب متقطع",IF(AND($E31&lt;&gt;"",$E31&lt;0.9),"متابعة — التزام أقل من 90٪","—"))))))</f>
        <v>—</v>
      </c>
      <c r="K31" s="61" t="str">
        <f t="shared" si="0"/>
        <v/>
      </c>
    </row>
    <row r="32" spans="1:11" ht="18" customHeight="1" x14ac:dyDescent="0.35">
      <c r="A32" s="18">
        <v>26</v>
      </c>
      <c r="B32" s="62" t="str">
        <f>IF(الحضور!$B33="","",الحضور!$B33)</f>
        <v>EMP-026</v>
      </c>
      <c r="C32" s="61" t="str">
        <f>IF($B32="","",الحضور!$C33)</f>
        <v>منال المطيري</v>
      </c>
      <c r="D32" s="62" t="str">
        <f>IF($B32="","",الحضور!$D33)</f>
        <v>الإدارة</v>
      </c>
      <c r="E32" s="86">
        <f>IF($B32="","",الحضور!$I33)</f>
        <v>0.81818181818181823</v>
      </c>
      <c r="F32" s="51">
        <f>IF($B32="","",الحضور!$G33)</f>
        <v>4</v>
      </c>
      <c r="G32" s="51">
        <f>IF($B32="","",التجميع!$P31)</f>
        <v>4</v>
      </c>
      <c r="H32" s="51">
        <f>IF($B32="","",MAX(التجميع!$R31,التجميع!$S31))</f>
        <v>4</v>
      </c>
      <c r="I32" s="64">
        <f>IF($B32="","",الحضور!$J33)</f>
        <v>102</v>
      </c>
      <c r="J32" s="87" t="str">
        <f>IF($B32="","",IF($H32&gt;الإعدادات!$C$36,"تجاوز حد الإنهاء — غياب متصل",IF($G32&gt;الإعدادات!$C$37,"تجاوز حد الإنهاء — غياب متقطع",IF($H32&gt;=الإعدادات!$C$34,"إنذار كتابي واجب — غياب متصل",IF($G32&gt;=الإعدادات!$C$35,"إنذار كتابي واجب — غياب متقطع",IF(AND($E32&lt;&gt;"",$E32&lt;0.9),"متابعة — التزام أقل من 90٪","—"))))))</f>
        <v>متابعة — التزام أقل من 90٪</v>
      </c>
      <c r="K32" s="61" t="str">
        <f t="shared" si="0"/>
        <v>مقابلة تصحيحية موثقة مع المدير المباشر</v>
      </c>
    </row>
    <row r="33" spans="1:11" ht="18" customHeight="1" x14ac:dyDescent="0.35">
      <c r="A33" s="18">
        <v>27</v>
      </c>
      <c r="B33" s="62" t="str">
        <f>IF(الحضور!$B34="","",الحضور!$B34)</f>
        <v>EMP-027</v>
      </c>
      <c r="C33" s="61" t="str">
        <f>IF($B33="","",الحضور!$C34)</f>
        <v>أميرة زكي الحسيني</v>
      </c>
      <c r="D33" s="62" t="str">
        <f>IF($B33="","",الحضور!$D34)</f>
        <v>الإدارة</v>
      </c>
      <c r="E33" s="86">
        <f>IF($B33="","",الحضور!$I34)</f>
        <v>0.95454545454545459</v>
      </c>
      <c r="F33" s="51">
        <f>IF($B33="","",الحضور!$G34)</f>
        <v>0</v>
      </c>
      <c r="G33" s="51">
        <f>IF($B33="","",التجميع!$P32)</f>
        <v>0</v>
      </c>
      <c r="H33" s="51">
        <f>IF($B33="","",MAX(التجميع!$R32,التجميع!$S32))</f>
        <v>0</v>
      </c>
      <c r="I33" s="64">
        <f>IF($B33="","",الحضور!$J34)</f>
        <v>5</v>
      </c>
      <c r="J33" s="87" t="str">
        <f>IF($B33="","",IF($H33&gt;الإعدادات!$C$36,"تجاوز حد الإنهاء — غياب متصل",IF($G33&gt;الإعدادات!$C$37,"تجاوز حد الإنهاء — غياب متقطع",IF($H33&gt;=الإعدادات!$C$34,"إنذار كتابي واجب — غياب متصل",IF($G33&gt;=الإعدادات!$C$35,"إنذار كتابي واجب — غياب متقطع",IF(AND($E33&lt;&gt;"",$E33&lt;0.9),"متابعة — التزام أقل من 90٪","—"))))))</f>
        <v>—</v>
      </c>
      <c r="K33" s="61" t="str">
        <f t="shared" si="0"/>
        <v/>
      </c>
    </row>
    <row r="34" spans="1:11" ht="18" customHeight="1" x14ac:dyDescent="0.35">
      <c r="A34" s="18">
        <v>28</v>
      </c>
      <c r="B34" s="62" t="str">
        <f>IF(الحضور!$B35="","",الحضور!$B35)</f>
        <v>EMP-028</v>
      </c>
      <c r="C34" s="61" t="str">
        <f>IF($B34="","",الحضور!$C35)</f>
        <v>دلال البلوي</v>
      </c>
      <c r="D34" s="62" t="str">
        <f>IF($B34="","",الحضور!$D35)</f>
        <v>الإدارة</v>
      </c>
      <c r="E34" s="86">
        <f>IF($B34="","",الحضور!$I35)</f>
        <v>0.88636363636363635</v>
      </c>
      <c r="F34" s="51">
        <f>IF($B34="","",الحضور!$G35)</f>
        <v>0</v>
      </c>
      <c r="G34" s="51">
        <f>IF($B34="","",التجميع!$P33)</f>
        <v>0</v>
      </c>
      <c r="H34" s="51">
        <f>IF($B34="","",MAX(التجميع!$R33,التجميع!$S33))</f>
        <v>0</v>
      </c>
      <c r="I34" s="64">
        <f>IF($B34="","",الحضور!$J35)</f>
        <v>879</v>
      </c>
      <c r="J34" s="87" t="str">
        <f>IF($B34="","",IF($H34&gt;الإعدادات!$C$36,"تجاوز حد الإنهاء — غياب متصل",IF($G34&gt;الإعدادات!$C$37,"تجاوز حد الإنهاء — غياب متقطع",IF($H34&gt;=الإعدادات!$C$34,"إنذار كتابي واجب — غياب متصل",IF($G34&gt;=الإعدادات!$C$35,"إنذار كتابي واجب — غياب متقطع",IF(AND($E34&lt;&gt;"",$E34&lt;0.9),"متابعة — التزام أقل من 90٪","—"))))))</f>
        <v>متابعة — التزام أقل من 90٪</v>
      </c>
      <c r="K34" s="61" t="str">
        <f t="shared" si="0"/>
        <v>مقابلة تصحيحية موثقة مع المدير المباشر</v>
      </c>
    </row>
    <row r="35" spans="1:11" ht="18" customHeight="1" x14ac:dyDescent="0.35">
      <c r="A35" s="18">
        <v>29</v>
      </c>
      <c r="B35" s="62" t="str">
        <f>IF(الحضور!$B36="","",الحضور!$B36)</f>
        <v>EMP-029</v>
      </c>
      <c r="C35" s="61" t="str">
        <f>IF($B35="","",الحضور!$C36)</f>
        <v>نادية عبد الحميد</v>
      </c>
      <c r="D35" s="62" t="str">
        <f>IF($B35="","",الحضور!$D36)</f>
        <v>الإدارة</v>
      </c>
      <c r="E35" s="86">
        <f>IF($B35="","",الحضور!$I36)</f>
        <v>0.86363636363636365</v>
      </c>
      <c r="F35" s="51">
        <f>IF($B35="","",الحضور!$G36)</f>
        <v>1</v>
      </c>
      <c r="G35" s="51">
        <f>IF($B35="","",التجميع!$P34)</f>
        <v>1</v>
      </c>
      <c r="H35" s="51">
        <f>IF($B35="","",MAX(التجميع!$R34,التجميع!$S34))</f>
        <v>1</v>
      </c>
      <c r="I35" s="64">
        <f>IF($B35="","",الحضور!$J36)</f>
        <v>24</v>
      </c>
      <c r="J35" s="87" t="str">
        <f>IF($B35="","",IF($H35&gt;الإعدادات!$C$36,"تجاوز حد الإنهاء — غياب متصل",IF($G35&gt;الإعدادات!$C$37,"تجاوز حد الإنهاء — غياب متقطع",IF($H35&gt;=الإعدادات!$C$34,"إنذار كتابي واجب — غياب متصل",IF($G35&gt;=الإعدادات!$C$35,"إنذار كتابي واجب — غياب متقطع",IF(AND($E35&lt;&gt;"",$E35&lt;0.9),"متابعة — التزام أقل من 90٪","—"))))))</f>
        <v>متابعة — التزام أقل من 90٪</v>
      </c>
      <c r="K35" s="61" t="str">
        <f t="shared" si="0"/>
        <v>مقابلة تصحيحية موثقة مع المدير المباشر</v>
      </c>
    </row>
    <row r="36" spans="1:11" ht="18" customHeight="1" x14ac:dyDescent="0.35">
      <c r="A36" s="18">
        <v>30</v>
      </c>
      <c r="B36" s="62" t="str">
        <f>IF(الحضور!$B37="","",الحضور!$B37)</f>
        <v>EMP-030</v>
      </c>
      <c r="C36" s="61" t="str">
        <f>IF($B36="","",الحضور!$C37)</f>
        <v>مي الفهد</v>
      </c>
      <c r="D36" s="62" t="str">
        <f>IF($B36="","",الحضور!$D37)</f>
        <v>الإدارة</v>
      </c>
      <c r="E36" s="86">
        <f>IF($B36="","",الحضور!$I37)</f>
        <v>0.95454545454545459</v>
      </c>
      <c r="F36" s="51">
        <f>IF($B36="","",الحضور!$G37)</f>
        <v>0</v>
      </c>
      <c r="G36" s="51">
        <f>IF($B36="","",التجميع!$P35)</f>
        <v>0</v>
      </c>
      <c r="H36" s="51">
        <f>IF($B36="","",MAX(التجميع!$R35,التجميع!$S35))</f>
        <v>0</v>
      </c>
      <c r="I36" s="64">
        <f>IF($B36="","",الحضور!$J37)</f>
        <v>29</v>
      </c>
      <c r="J36" s="87" t="str">
        <f>IF($B36="","",IF($H36&gt;الإعدادات!$C$36,"تجاوز حد الإنهاء — غياب متصل",IF($G36&gt;الإعدادات!$C$37,"تجاوز حد الإنهاء — غياب متقطع",IF($H36&gt;=الإعدادات!$C$34,"إنذار كتابي واجب — غياب متصل",IF($G36&gt;=الإعدادات!$C$35,"إنذار كتابي واجب — غياب متقطع",IF(AND($E36&lt;&gt;"",$E36&lt;0.9),"متابعة — التزام أقل من 90٪","—"))))))</f>
        <v>—</v>
      </c>
      <c r="K36" s="61" t="str">
        <f t="shared" si="0"/>
        <v/>
      </c>
    </row>
    <row r="37" spans="1:11" ht="18" customHeight="1" x14ac:dyDescent="0.35">
      <c r="A37" s="18"/>
      <c r="B37" s="62" t="str">
        <f>IF(الحضور!$B38="","",الحضور!$B38)</f>
        <v/>
      </c>
      <c r="C37" s="61" t="str">
        <f>IF($B37="","",الحضور!$C38)</f>
        <v/>
      </c>
      <c r="D37" s="62" t="str">
        <f>IF($B37="","",الحضور!$D38)</f>
        <v/>
      </c>
      <c r="E37" s="86" t="str">
        <f>IF($B37="","",الحضور!$I38)</f>
        <v/>
      </c>
      <c r="F37" s="51" t="str">
        <f>IF($B37="","",الحضور!$G38)</f>
        <v/>
      </c>
      <c r="G37" s="51" t="str">
        <f>IF($B37="","",التجميع!$P36)</f>
        <v/>
      </c>
      <c r="H37" s="51" t="str">
        <f>IF($B37="","",MAX(التجميع!$R36,التجميع!$S36))</f>
        <v/>
      </c>
      <c r="I37" s="64" t="str">
        <f>IF($B37="","",الحضور!$J38)</f>
        <v/>
      </c>
      <c r="J37" s="87" t="str">
        <f>IF($B37="","",IF($H37&gt;الإعدادات!$C$36,"تجاوز حد الإنهاء — غياب متصل",IF($G37&gt;الإعدادات!$C$37,"تجاوز حد الإنهاء — غياب متقطع",IF($H37&gt;=الإعدادات!$C$34,"إنذار كتابي واجب — غياب متصل",IF($G37&gt;=الإعدادات!$C$35,"إنذار كتابي واجب — غياب متقطع",IF(AND($E37&lt;&gt;"",$E37&lt;0.9),"متابعة — التزام أقل من 90٪","—"))))))</f>
        <v/>
      </c>
      <c r="K37" s="61" t="str">
        <f t="shared" si="0"/>
        <v/>
      </c>
    </row>
    <row r="38" spans="1:11" ht="18" customHeight="1" x14ac:dyDescent="0.35">
      <c r="A38" s="18"/>
      <c r="B38" s="62" t="str">
        <f>IF(الحضور!$B39="","",الحضور!$B39)</f>
        <v/>
      </c>
      <c r="C38" s="61" t="str">
        <f>IF($B38="","",الحضور!$C39)</f>
        <v/>
      </c>
      <c r="D38" s="62" t="str">
        <f>IF($B38="","",الحضور!$D39)</f>
        <v/>
      </c>
      <c r="E38" s="86" t="str">
        <f>IF($B38="","",الحضور!$I39)</f>
        <v/>
      </c>
      <c r="F38" s="51" t="str">
        <f>IF($B38="","",الحضور!$G39)</f>
        <v/>
      </c>
      <c r="G38" s="51" t="str">
        <f>IF($B38="","",التجميع!$P37)</f>
        <v/>
      </c>
      <c r="H38" s="51" t="str">
        <f>IF($B38="","",MAX(التجميع!$R37,التجميع!$S37))</f>
        <v/>
      </c>
      <c r="I38" s="64" t="str">
        <f>IF($B38="","",الحضور!$J39)</f>
        <v/>
      </c>
      <c r="J38" s="87" t="str">
        <f>IF($B38="","",IF($H38&gt;الإعدادات!$C$36,"تجاوز حد الإنهاء — غياب متصل",IF($G38&gt;الإعدادات!$C$37,"تجاوز حد الإنهاء — غياب متقطع",IF($H38&gt;=الإعدادات!$C$34,"إنذار كتابي واجب — غياب متصل",IF($G38&gt;=الإعدادات!$C$35,"إنذار كتابي واجب — غياب متقطع",IF(AND($E38&lt;&gt;"",$E38&lt;0.9),"متابعة — التزام أقل من 90٪","—"))))))</f>
        <v/>
      </c>
      <c r="K38" s="61" t="str">
        <f t="shared" si="0"/>
        <v/>
      </c>
    </row>
    <row r="39" spans="1:11" ht="18" customHeight="1" x14ac:dyDescent="0.35">
      <c r="A39" s="18"/>
      <c r="B39" s="62" t="str">
        <f>IF(الحضور!$B40="","",الحضور!$B40)</f>
        <v/>
      </c>
      <c r="C39" s="61" t="str">
        <f>IF($B39="","",الحضور!$C40)</f>
        <v/>
      </c>
      <c r="D39" s="62" t="str">
        <f>IF($B39="","",الحضور!$D40)</f>
        <v/>
      </c>
      <c r="E39" s="86" t="str">
        <f>IF($B39="","",الحضور!$I40)</f>
        <v/>
      </c>
      <c r="F39" s="51" t="str">
        <f>IF($B39="","",الحضور!$G40)</f>
        <v/>
      </c>
      <c r="G39" s="51" t="str">
        <f>IF($B39="","",التجميع!$P38)</f>
        <v/>
      </c>
      <c r="H39" s="51" t="str">
        <f>IF($B39="","",MAX(التجميع!$R38,التجميع!$S38))</f>
        <v/>
      </c>
      <c r="I39" s="64" t="str">
        <f>IF($B39="","",الحضور!$J40)</f>
        <v/>
      </c>
      <c r="J39" s="87" t="str">
        <f>IF($B39="","",IF($H39&gt;الإعدادات!$C$36,"تجاوز حد الإنهاء — غياب متصل",IF($G39&gt;الإعدادات!$C$37,"تجاوز حد الإنهاء — غياب متقطع",IF($H39&gt;=الإعدادات!$C$34,"إنذار كتابي واجب — غياب متصل",IF($G39&gt;=الإعدادات!$C$35,"إنذار كتابي واجب — غياب متقطع",IF(AND($E39&lt;&gt;"",$E39&lt;0.9),"متابعة — التزام أقل من 90٪","—"))))))</f>
        <v/>
      </c>
      <c r="K39" s="61" t="str">
        <f t="shared" si="0"/>
        <v/>
      </c>
    </row>
    <row r="40" spans="1:11" ht="18" customHeight="1" x14ac:dyDescent="0.35">
      <c r="A40" s="18"/>
      <c r="B40" s="62" t="str">
        <f>IF(الحضور!$B41="","",الحضور!$B41)</f>
        <v/>
      </c>
      <c r="C40" s="61" t="str">
        <f>IF($B40="","",الحضور!$C41)</f>
        <v/>
      </c>
      <c r="D40" s="62" t="str">
        <f>IF($B40="","",الحضور!$D41)</f>
        <v/>
      </c>
      <c r="E40" s="86" t="str">
        <f>IF($B40="","",الحضور!$I41)</f>
        <v/>
      </c>
      <c r="F40" s="51" t="str">
        <f>IF($B40="","",الحضور!$G41)</f>
        <v/>
      </c>
      <c r="G40" s="51" t="str">
        <f>IF($B40="","",التجميع!$P39)</f>
        <v/>
      </c>
      <c r="H40" s="51" t="str">
        <f>IF($B40="","",MAX(التجميع!$R39,التجميع!$S39))</f>
        <v/>
      </c>
      <c r="I40" s="64" t="str">
        <f>IF($B40="","",الحضور!$J41)</f>
        <v/>
      </c>
      <c r="J40" s="87" t="str">
        <f>IF($B40="","",IF($H40&gt;الإعدادات!$C$36,"تجاوز حد الإنهاء — غياب متصل",IF($G40&gt;الإعدادات!$C$37,"تجاوز حد الإنهاء — غياب متقطع",IF($H40&gt;=الإعدادات!$C$34,"إنذار كتابي واجب — غياب متصل",IF($G40&gt;=الإعدادات!$C$35,"إنذار كتابي واجب — غياب متقطع",IF(AND($E40&lt;&gt;"",$E40&lt;0.9),"متابعة — التزام أقل من 90٪","—"))))))</f>
        <v/>
      </c>
      <c r="K40" s="61" t="str">
        <f t="shared" si="0"/>
        <v/>
      </c>
    </row>
    <row r="41" spans="1:11" ht="18" customHeight="1" x14ac:dyDescent="0.35">
      <c r="A41" s="18"/>
      <c r="B41" s="62" t="str">
        <f>IF(الحضور!$B42="","",الحضور!$B42)</f>
        <v/>
      </c>
      <c r="C41" s="61" t="str">
        <f>IF($B41="","",الحضور!$C42)</f>
        <v/>
      </c>
      <c r="D41" s="62" t="str">
        <f>IF($B41="","",الحضور!$D42)</f>
        <v/>
      </c>
      <c r="E41" s="86" t="str">
        <f>IF($B41="","",الحضور!$I42)</f>
        <v/>
      </c>
      <c r="F41" s="51" t="str">
        <f>IF($B41="","",الحضور!$G42)</f>
        <v/>
      </c>
      <c r="G41" s="51" t="str">
        <f>IF($B41="","",التجميع!$P40)</f>
        <v/>
      </c>
      <c r="H41" s="51" t="str">
        <f>IF($B41="","",MAX(التجميع!$R40,التجميع!$S40))</f>
        <v/>
      </c>
      <c r="I41" s="64" t="str">
        <f>IF($B41="","",الحضور!$J42)</f>
        <v/>
      </c>
      <c r="J41" s="87" t="str">
        <f>IF($B41="","",IF($H41&gt;الإعدادات!$C$36,"تجاوز حد الإنهاء — غياب متصل",IF($G41&gt;الإعدادات!$C$37,"تجاوز حد الإنهاء — غياب متقطع",IF($H41&gt;=الإعدادات!$C$34,"إنذار كتابي واجب — غياب متصل",IF($G41&gt;=الإعدادات!$C$35,"إنذار كتابي واجب — غياب متقطع",IF(AND($E41&lt;&gt;"",$E41&lt;0.9),"متابعة — التزام أقل من 90٪","—"))))))</f>
        <v/>
      </c>
      <c r="K41" s="61" t="str">
        <f t="shared" si="0"/>
        <v/>
      </c>
    </row>
    <row r="42" spans="1:11" ht="18" customHeight="1" x14ac:dyDescent="0.35">
      <c r="A42" s="18"/>
      <c r="B42" s="62" t="str">
        <f>IF(الحضور!$B43="","",الحضور!$B43)</f>
        <v/>
      </c>
      <c r="C42" s="61" t="str">
        <f>IF($B42="","",الحضور!$C43)</f>
        <v/>
      </c>
      <c r="D42" s="62" t="str">
        <f>IF($B42="","",الحضور!$D43)</f>
        <v/>
      </c>
      <c r="E42" s="86" t="str">
        <f>IF($B42="","",الحضور!$I43)</f>
        <v/>
      </c>
      <c r="F42" s="51" t="str">
        <f>IF($B42="","",الحضور!$G43)</f>
        <v/>
      </c>
      <c r="G42" s="51" t="str">
        <f>IF($B42="","",التجميع!$P41)</f>
        <v/>
      </c>
      <c r="H42" s="51" t="str">
        <f>IF($B42="","",MAX(التجميع!$R41,التجميع!$S41))</f>
        <v/>
      </c>
      <c r="I42" s="64" t="str">
        <f>IF($B42="","",الحضور!$J43)</f>
        <v/>
      </c>
      <c r="J42" s="87" t="str">
        <f>IF($B42="","",IF($H42&gt;الإعدادات!$C$36,"تجاوز حد الإنهاء — غياب متصل",IF($G42&gt;الإعدادات!$C$37,"تجاوز حد الإنهاء — غياب متقطع",IF($H42&gt;=الإعدادات!$C$34,"إنذار كتابي واجب — غياب متصل",IF($G42&gt;=الإعدادات!$C$35,"إنذار كتابي واجب — غياب متقطع",IF(AND($E42&lt;&gt;"",$E42&lt;0.9),"متابعة — التزام أقل من 90٪","—"))))))</f>
        <v/>
      </c>
      <c r="K42" s="61" t="str">
        <f t="shared" si="0"/>
        <v/>
      </c>
    </row>
    <row r="43" spans="1:11" ht="18" customHeight="1" x14ac:dyDescent="0.35">
      <c r="A43" s="18"/>
      <c r="B43" s="62" t="str">
        <f>IF(الحضور!$B44="","",الحضور!$B44)</f>
        <v/>
      </c>
      <c r="C43" s="61" t="str">
        <f>IF($B43="","",الحضور!$C44)</f>
        <v/>
      </c>
      <c r="D43" s="62" t="str">
        <f>IF($B43="","",الحضور!$D44)</f>
        <v/>
      </c>
      <c r="E43" s="86" t="str">
        <f>IF($B43="","",الحضور!$I44)</f>
        <v/>
      </c>
      <c r="F43" s="51" t="str">
        <f>IF($B43="","",الحضور!$G44)</f>
        <v/>
      </c>
      <c r="G43" s="51" t="str">
        <f>IF($B43="","",التجميع!$P42)</f>
        <v/>
      </c>
      <c r="H43" s="51" t="str">
        <f>IF($B43="","",MAX(التجميع!$R42,التجميع!$S42))</f>
        <v/>
      </c>
      <c r="I43" s="64" t="str">
        <f>IF($B43="","",الحضور!$J44)</f>
        <v/>
      </c>
      <c r="J43" s="87" t="str">
        <f>IF($B43="","",IF($H43&gt;الإعدادات!$C$36,"تجاوز حد الإنهاء — غياب متصل",IF($G43&gt;الإعدادات!$C$37,"تجاوز حد الإنهاء — غياب متقطع",IF($H43&gt;=الإعدادات!$C$34,"إنذار كتابي واجب — غياب متصل",IF($G43&gt;=الإعدادات!$C$35,"إنذار كتابي واجب — غياب متقطع",IF(AND($E43&lt;&gt;"",$E43&lt;0.9),"متابعة — التزام أقل من 90٪","—"))))))</f>
        <v/>
      </c>
      <c r="K43" s="61" t="str">
        <f t="shared" si="0"/>
        <v/>
      </c>
    </row>
    <row r="44" spans="1:11" ht="18" customHeight="1" x14ac:dyDescent="0.35">
      <c r="A44" s="18"/>
      <c r="B44" s="62" t="str">
        <f>IF(الحضور!$B45="","",الحضور!$B45)</f>
        <v/>
      </c>
      <c r="C44" s="61" t="str">
        <f>IF($B44="","",الحضور!$C45)</f>
        <v/>
      </c>
      <c r="D44" s="62" t="str">
        <f>IF($B44="","",الحضور!$D45)</f>
        <v/>
      </c>
      <c r="E44" s="86" t="str">
        <f>IF($B44="","",الحضور!$I45)</f>
        <v/>
      </c>
      <c r="F44" s="51" t="str">
        <f>IF($B44="","",الحضور!$G45)</f>
        <v/>
      </c>
      <c r="G44" s="51" t="str">
        <f>IF($B44="","",التجميع!$P43)</f>
        <v/>
      </c>
      <c r="H44" s="51" t="str">
        <f>IF($B44="","",MAX(التجميع!$R43,التجميع!$S43))</f>
        <v/>
      </c>
      <c r="I44" s="64" t="str">
        <f>IF($B44="","",الحضور!$J45)</f>
        <v/>
      </c>
      <c r="J44" s="87" t="str">
        <f>IF($B44="","",IF($H44&gt;الإعدادات!$C$36,"تجاوز حد الإنهاء — غياب متصل",IF($G44&gt;الإعدادات!$C$37,"تجاوز حد الإنهاء — غياب متقطع",IF($H44&gt;=الإعدادات!$C$34,"إنذار كتابي واجب — غياب متصل",IF($G44&gt;=الإعدادات!$C$35,"إنذار كتابي واجب — غياب متقطع",IF(AND($E44&lt;&gt;"",$E44&lt;0.9),"متابعة — التزام أقل من 90٪","—"))))))</f>
        <v/>
      </c>
      <c r="K44" s="61" t="str">
        <f t="shared" si="0"/>
        <v/>
      </c>
    </row>
    <row r="45" spans="1:11" ht="18" customHeight="1" x14ac:dyDescent="0.35">
      <c r="A45" s="18"/>
      <c r="B45" s="62" t="str">
        <f>IF(الحضور!$B46="","",الحضور!$B46)</f>
        <v/>
      </c>
      <c r="C45" s="61" t="str">
        <f>IF($B45="","",الحضور!$C46)</f>
        <v/>
      </c>
      <c r="D45" s="62" t="str">
        <f>IF($B45="","",الحضور!$D46)</f>
        <v/>
      </c>
      <c r="E45" s="86" t="str">
        <f>IF($B45="","",الحضور!$I46)</f>
        <v/>
      </c>
      <c r="F45" s="51" t="str">
        <f>IF($B45="","",الحضور!$G46)</f>
        <v/>
      </c>
      <c r="G45" s="51" t="str">
        <f>IF($B45="","",التجميع!$P44)</f>
        <v/>
      </c>
      <c r="H45" s="51" t="str">
        <f>IF($B45="","",MAX(التجميع!$R44,التجميع!$S44))</f>
        <v/>
      </c>
      <c r="I45" s="64" t="str">
        <f>IF($B45="","",الحضور!$J46)</f>
        <v/>
      </c>
      <c r="J45" s="87" t="str">
        <f>IF($B45="","",IF($H45&gt;الإعدادات!$C$36,"تجاوز حد الإنهاء — غياب متصل",IF($G45&gt;الإعدادات!$C$37,"تجاوز حد الإنهاء — غياب متقطع",IF($H45&gt;=الإعدادات!$C$34,"إنذار كتابي واجب — غياب متصل",IF($G45&gt;=الإعدادات!$C$35,"إنذار كتابي واجب — غياب متقطع",IF(AND($E45&lt;&gt;"",$E45&lt;0.9),"متابعة — التزام أقل من 90٪","—"))))))</f>
        <v/>
      </c>
      <c r="K45" s="61" t="str">
        <f t="shared" si="0"/>
        <v/>
      </c>
    </row>
    <row r="46" spans="1:11" ht="18" customHeight="1" x14ac:dyDescent="0.35">
      <c r="A46" s="18"/>
      <c r="B46" s="62" t="str">
        <f>IF(الحضور!$B47="","",الحضور!$B47)</f>
        <v/>
      </c>
      <c r="C46" s="61" t="str">
        <f>IF($B46="","",الحضور!$C47)</f>
        <v/>
      </c>
      <c r="D46" s="62" t="str">
        <f>IF($B46="","",الحضور!$D47)</f>
        <v/>
      </c>
      <c r="E46" s="86" t="str">
        <f>IF($B46="","",الحضور!$I47)</f>
        <v/>
      </c>
      <c r="F46" s="51" t="str">
        <f>IF($B46="","",الحضور!$G47)</f>
        <v/>
      </c>
      <c r="G46" s="51" t="str">
        <f>IF($B46="","",التجميع!$P45)</f>
        <v/>
      </c>
      <c r="H46" s="51" t="str">
        <f>IF($B46="","",MAX(التجميع!$R45,التجميع!$S45))</f>
        <v/>
      </c>
      <c r="I46" s="64" t="str">
        <f>IF($B46="","",الحضور!$J47)</f>
        <v/>
      </c>
      <c r="J46" s="87" t="str">
        <f>IF($B46="","",IF($H46&gt;الإعدادات!$C$36,"تجاوز حد الإنهاء — غياب متصل",IF($G46&gt;الإعدادات!$C$37,"تجاوز حد الإنهاء — غياب متقطع",IF($H46&gt;=الإعدادات!$C$34,"إنذار كتابي واجب — غياب متصل",IF($G46&gt;=الإعدادات!$C$35,"إنذار كتابي واجب — غياب متقطع",IF(AND($E46&lt;&gt;"",$E46&lt;0.9),"متابعة — التزام أقل من 90٪","—"))))))</f>
        <v/>
      </c>
      <c r="K46" s="61" t="str">
        <f t="shared" si="0"/>
        <v/>
      </c>
    </row>
    <row r="48" spans="1:11" ht="25.5" customHeight="1" x14ac:dyDescent="0.35">
      <c r="A48" s="10" t="s">
        <v>427</v>
      </c>
      <c r="B48" s="10"/>
      <c r="C48" s="10"/>
      <c r="D48" s="10"/>
      <c r="E48" s="10"/>
      <c r="F48" s="10"/>
      <c r="G48" s="10"/>
      <c r="H48" s="10"/>
      <c r="I48" s="10"/>
      <c r="J48" s="10"/>
      <c r="K48" s="10"/>
    </row>
  </sheetData>
  <sheetProtection sheet="1" formatCells="0" formatColumns="0" formatRows="0" sort="0" autoFilter="0"/>
  <mergeCells count="3">
    <mergeCell ref="A1:K1"/>
    <mergeCell ref="A2:K2"/>
    <mergeCell ref="A48:K48"/>
  </mergeCells>
  <conditionalFormatting sqref="A7:K46">
    <cfRule type="expression" dxfId="3" priority="2">
      <formula>LEFT($J7,5)="تجاوز"</formula>
    </cfRule>
    <cfRule type="expression" dxfId="2" priority="3">
      <formula>LEFT($J7,5)="إنذار"</formula>
    </cfRule>
    <cfRule type="expression" dxfId="1" priority="4">
      <formula>LEFT($J7,6)="متابعة"</formula>
    </cfRule>
  </conditionalFormatting>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50"/>
  <sheetViews>
    <sheetView showGridLines="0" rightToLeft="1" zoomScaleNormal="100" workbookViewId="0">
      <pane xSplit="3" ySplit="5" topLeftCell="D6" activePane="bottomRight" state="frozen"/>
      <selection pane="topRight" activeCell="D1" sqref="D1"/>
      <selection pane="bottomLeft" activeCell="A6" sqref="A6"/>
      <selection pane="bottomRight" activeCell="S18" sqref="S18"/>
    </sheetView>
  </sheetViews>
  <sheetFormatPr defaultColWidth="8.6328125" defaultRowHeight="14.5" x14ac:dyDescent="0.35"/>
  <cols>
    <col min="1" max="1" width="5" customWidth="1"/>
    <col min="2" max="2" width="13" customWidth="1"/>
    <col min="3" max="3" width="22" customWidth="1"/>
    <col min="4" max="4" width="12" customWidth="1"/>
    <col min="5" max="5" width="11" customWidth="1"/>
    <col min="6" max="6" width="10" customWidth="1"/>
    <col min="7" max="8" width="11" customWidth="1"/>
    <col min="9" max="13" width="12" customWidth="1"/>
    <col min="14" max="14" width="11" customWidth="1"/>
    <col min="15" max="15" width="12" customWidth="1"/>
    <col min="16" max="17" width="14" customWidth="1"/>
  </cols>
  <sheetData>
    <row r="1" spans="1:17" ht="30" customHeight="1" x14ac:dyDescent="0.35">
      <c r="A1" s="14" t="s">
        <v>428</v>
      </c>
      <c r="B1" s="14"/>
      <c r="C1" s="14"/>
      <c r="D1" s="14"/>
      <c r="E1" s="14"/>
      <c r="F1" s="14"/>
      <c r="G1" s="14"/>
      <c r="H1" s="14"/>
      <c r="I1" s="14"/>
      <c r="J1" s="14"/>
      <c r="K1" s="14"/>
      <c r="L1" s="14"/>
      <c r="M1" s="14"/>
      <c r="N1" s="14"/>
      <c r="O1" s="14"/>
      <c r="P1" s="14"/>
      <c r="Q1" s="14"/>
    </row>
    <row r="2" spans="1:17" ht="18" customHeight="1" x14ac:dyDescent="0.35">
      <c r="A2" s="13" t="s">
        <v>429</v>
      </c>
      <c r="B2" s="13"/>
      <c r="C2" s="13"/>
      <c r="D2" s="13"/>
      <c r="E2" s="13"/>
      <c r="F2" s="13"/>
      <c r="G2" s="13"/>
      <c r="H2" s="13"/>
      <c r="I2" s="13"/>
      <c r="J2" s="13"/>
      <c r="K2" s="13"/>
      <c r="L2" s="13"/>
      <c r="M2" s="13"/>
      <c r="N2" s="13"/>
      <c r="O2" s="13"/>
      <c r="P2" s="13"/>
      <c r="Q2" s="13"/>
    </row>
    <row r="3" spans="1:17" x14ac:dyDescent="0.35">
      <c r="A3" s="53" t="s">
        <v>430</v>
      </c>
      <c r="C3" s="81">
        <f>SUM(P6:P45)</f>
        <v>24833.400000000005</v>
      </c>
      <c r="D3" s="53" t="s">
        <v>431</v>
      </c>
      <c r="F3" s="81">
        <f>SUM(O6:O45)</f>
        <v>2275.8100000000009</v>
      </c>
      <c r="G3" s="53" t="s">
        <v>432</v>
      </c>
      <c r="I3" s="81">
        <f>SUM(Q6:Q45)</f>
        <v>241642.41</v>
      </c>
    </row>
    <row r="5" spans="1:17" ht="30" customHeight="1" x14ac:dyDescent="0.35">
      <c r="A5" s="15" t="s">
        <v>200</v>
      </c>
      <c r="B5" s="15" t="s">
        <v>201</v>
      </c>
      <c r="C5" s="15" t="s">
        <v>202</v>
      </c>
      <c r="D5" s="15" t="s">
        <v>208</v>
      </c>
      <c r="E5" s="15" t="s">
        <v>209</v>
      </c>
      <c r="F5" s="15" t="s">
        <v>318</v>
      </c>
      <c r="G5" s="15" t="s">
        <v>146</v>
      </c>
      <c r="H5" s="15" t="s">
        <v>154</v>
      </c>
      <c r="I5" s="15" t="s">
        <v>433</v>
      </c>
      <c r="J5" s="15" t="s">
        <v>434</v>
      </c>
      <c r="K5" s="15" t="s">
        <v>435</v>
      </c>
      <c r="L5" s="15" t="s">
        <v>436</v>
      </c>
      <c r="M5" s="15" t="s">
        <v>29</v>
      </c>
      <c r="N5" s="15" t="s">
        <v>327</v>
      </c>
      <c r="O5" s="15" t="s">
        <v>437</v>
      </c>
      <c r="P5" s="15" t="s">
        <v>430</v>
      </c>
      <c r="Q5" s="15" t="s">
        <v>438</v>
      </c>
    </row>
    <row r="6" spans="1:17" ht="16.5" customHeight="1" x14ac:dyDescent="0.35">
      <c r="A6" s="18">
        <v>1</v>
      </c>
      <c r="B6" s="62" t="str">
        <f>IF(الحضور!$B8="","",الحضور!$B8)</f>
        <v>EMP-001</v>
      </c>
      <c r="C6" s="61" t="str">
        <f>IF($B6="","",الحضور!$C8)</f>
        <v>أحمد محمد الشريف</v>
      </c>
      <c r="D6" s="64">
        <f>IF($B6="","",الموظفون!$I6)</f>
        <v>9500</v>
      </c>
      <c r="E6" s="48">
        <f>IF($B6="","",الموظفون!$J6)</f>
        <v>316.67</v>
      </c>
      <c r="F6" s="51">
        <f>IF($B6="","",الإعدادات!$C$25)</f>
        <v>30</v>
      </c>
      <c r="G6" s="51">
        <f>IF($B6="","",الحضور!$G8)</f>
        <v>0</v>
      </c>
      <c r="H6" s="51">
        <f>IF($B6="","",الحضور!$AV8)</f>
        <v>0</v>
      </c>
      <c r="I6" s="77">
        <f>IF($B6="","",ROUND(الحضور!$AT8*0.25+الحضور!$AU8*1,2))</f>
        <v>0</v>
      </c>
      <c r="J6" s="48">
        <f t="shared" ref="J6:J45" si="0">IF($B6="","",ROUND($G6*$E6,2))</f>
        <v>0</v>
      </c>
      <c r="K6" s="48">
        <f t="shared" ref="K6:K45" si="1">IF($B6="","",ROUND($H6*$E6,2))</f>
        <v>0</v>
      </c>
      <c r="L6" s="48">
        <f t="shared" ref="L6:L45" si="2">IF($B6="","",ROUND($I6*$E6,2))</f>
        <v>0</v>
      </c>
      <c r="M6" s="48">
        <f>IF($B6="","",الجزاءات!$M22)</f>
        <v>0</v>
      </c>
      <c r="N6" s="46">
        <f>IF($B6="","",الحضور!$K8)</f>
        <v>0</v>
      </c>
      <c r="O6" s="48">
        <f>IF($B6="","",ROUND($N6*الموظفون!$K6*الإعدادات!$C$40,2))</f>
        <v>0</v>
      </c>
      <c r="P6" s="79">
        <f t="shared" ref="P6:P45" si="3">IF($B6="","",ROUND($J6+$K6+$L6+$M6,2))</f>
        <v>0</v>
      </c>
      <c r="Q6" s="79">
        <f t="shared" ref="Q6:Q45" si="4">IF($B6="","",ROUND($D6-$P6+$O6,2))</f>
        <v>9500</v>
      </c>
    </row>
    <row r="7" spans="1:17" ht="16.5" customHeight="1" x14ac:dyDescent="0.35">
      <c r="A7" s="18">
        <v>2</v>
      </c>
      <c r="B7" s="62" t="str">
        <f>IF(الحضور!$B9="","",الحضور!$B9)</f>
        <v>EMP-002</v>
      </c>
      <c r="C7" s="61" t="str">
        <f>IF($B7="","",الحضور!$C9)</f>
        <v>عبدالله القحطاني</v>
      </c>
      <c r="D7" s="64">
        <f>IF($B7="","",الموظفون!$I7)</f>
        <v>11000</v>
      </c>
      <c r="E7" s="48">
        <f>IF($B7="","",الموظفون!$J7)</f>
        <v>366.67</v>
      </c>
      <c r="F7" s="51">
        <f>IF($B7="","",الإعدادات!$C$25)</f>
        <v>30</v>
      </c>
      <c r="G7" s="51">
        <f>IF($B7="","",الحضور!$G9)</f>
        <v>3</v>
      </c>
      <c r="H7" s="51">
        <f>IF($B7="","",الحضور!$AV9)</f>
        <v>0</v>
      </c>
      <c r="I7" s="77">
        <f>IF($B7="","",ROUND(الحضور!$AT9*0.25+الحضور!$AU9*1,2))</f>
        <v>0</v>
      </c>
      <c r="J7" s="48">
        <f t="shared" si="0"/>
        <v>1100.01</v>
      </c>
      <c r="K7" s="48">
        <f t="shared" si="1"/>
        <v>0</v>
      </c>
      <c r="L7" s="48">
        <f t="shared" si="2"/>
        <v>0</v>
      </c>
      <c r="M7" s="48">
        <f>IF($B7="","",الجزاءات!$M23)</f>
        <v>733.34</v>
      </c>
      <c r="N7" s="46">
        <f>IF($B7="","",الحضور!$K9)</f>
        <v>1</v>
      </c>
      <c r="O7" s="48">
        <f>IF($B7="","",ROUND($N7*الموظفون!$K7*الإعدادات!$C$40,2))</f>
        <v>79.319999999999993</v>
      </c>
      <c r="P7" s="79">
        <f t="shared" si="3"/>
        <v>1833.35</v>
      </c>
      <c r="Q7" s="79">
        <f t="shared" si="4"/>
        <v>9245.9699999999993</v>
      </c>
    </row>
    <row r="8" spans="1:17" ht="16.5" customHeight="1" x14ac:dyDescent="0.35">
      <c r="A8" s="18">
        <v>3</v>
      </c>
      <c r="B8" s="62" t="str">
        <f>IF(الحضور!$B10="","",الحضور!$B10)</f>
        <v>EMP-003</v>
      </c>
      <c r="C8" s="61" t="str">
        <f>IF($B8="","",الحضور!$C10)</f>
        <v>محمود حسن السيد</v>
      </c>
      <c r="D8" s="64">
        <f>IF($B8="","",الموظفون!$I8)</f>
        <v>8200</v>
      </c>
      <c r="E8" s="48">
        <f>IF($B8="","",الموظفون!$J8)</f>
        <v>273.33</v>
      </c>
      <c r="F8" s="51">
        <f>IF($B8="","",الإعدادات!$C$25)</f>
        <v>30</v>
      </c>
      <c r="G8" s="51">
        <f>IF($B8="","",الحضور!$G10)</f>
        <v>0</v>
      </c>
      <c r="H8" s="51">
        <f>IF($B8="","",الحضور!$AV10)</f>
        <v>0</v>
      </c>
      <c r="I8" s="77">
        <f>IF($B8="","",ROUND(الحضور!$AT10*0.25+الحضور!$AU10*1,2))</f>
        <v>0</v>
      </c>
      <c r="J8" s="48">
        <f t="shared" si="0"/>
        <v>0</v>
      </c>
      <c r="K8" s="48">
        <f t="shared" si="1"/>
        <v>0</v>
      </c>
      <c r="L8" s="48">
        <f t="shared" si="2"/>
        <v>0</v>
      </c>
      <c r="M8" s="48">
        <f>IF($B8="","",الجزاءات!$M24)</f>
        <v>0</v>
      </c>
      <c r="N8" s="46">
        <f>IF($B8="","",الحضور!$K10)</f>
        <v>0</v>
      </c>
      <c r="O8" s="48">
        <f>IF($B8="","",ROUND($N8*الموظفون!$K8*الإعدادات!$C$40,2))</f>
        <v>0</v>
      </c>
      <c r="P8" s="79">
        <f t="shared" si="3"/>
        <v>0</v>
      </c>
      <c r="Q8" s="79">
        <f t="shared" si="4"/>
        <v>8200</v>
      </c>
    </row>
    <row r="9" spans="1:17" ht="16.5" customHeight="1" x14ac:dyDescent="0.35">
      <c r="A9" s="18">
        <v>4</v>
      </c>
      <c r="B9" s="62" t="str">
        <f>IF(الحضور!$B11="","",الحضور!$B11)</f>
        <v>EMP-004</v>
      </c>
      <c r="C9" s="61" t="str">
        <f>IF($B9="","",الحضور!$C11)</f>
        <v>فيصل العتيبي</v>
      </c>
      <c r="D9" s="64">
        <f>IF($B9="","",الموظفون!$I9)</f>
        <v>16000</v>
      </c>
      <c r="E9" s="48">
        <f>IF($B9="","",الموظفون!$J9)</f>
        <v>533.33000000000004</v>
      </c>
      <c r="F9" s="51">
        <f>IF($B9="","",الإعدادات!$C$25)</f>
        <v>30</v>
      </c>
      <c r="G9" s="51">
        <f>IF($B9="","",الحضور!$G11)</f>
        <v>0</v>
      </c>
      <c r="H9" s="51">
        <f>IF($B9="","",الحضور!$AV11)</f>
        <v>0</v>
      </c>
      <c r="I9" s="77">
        <f>IF($B9="","",ROUND(الحضور!$AT11*0.25+الحضور!$AU11*1,2))</f>
        <v>0</v>
      </c>
      <c r="J9" s="48">
        <f t="shared" si="0"/>
        <v>0</v>
      </c>
      <c r="K9" s="48">
        <f t="shared" si="1"/>
        <v>0</v>
      </c>
      <c r="L9" s="48">
        <f t="shared" si="2"/>
        <v>0</v>
      </c>
      <c r="M9" s="48">
        <f>IF($B9="","",الجزاءات!$M25)</f>
        <v>0</v>
      </c>
      <c r="N9" s="46">
        <f>IF($B9="","",الحضور!$K11)</f>
        <v>3.6</v>
      </c>
      <c r="O9" s="48">
        <f>IF($B9="","",ROUND($N9*الموظفون!$K9*الإعدادات!$C$40,2))</f>
        <v>415.37</v>
      </c>
      <c r="P9" s="79">
        <f t="shared" si="3"/>
        <v>0</v>
      </c>
      <c r="Q9" s="79">
        <f t="shared" si="4"/>
        <v>16415.37</v>
      </c>
    </row>
    <row r="10" spans="1:17" ht="16.5" customHeight="1" x14ac:dyDescent="0.35">
      <c r="A10" s="18">
        <v>5</v>
      </c>
      <c r="B10" s="62" t="str">
        <f>IF(الحضور!$B12="","",الحضور!$B12)</f>
        <v>EMP-005</v>
      </c>
      <c r="C10" s="61" t="str">
        <f>IF($B10="","",الحضور!$C12)</f>
        <v>يوسف إبراهيم فؤاد</v>
      </c>
      <c r="D10" s="64">
        <f>IF($B10="","",الموظفون!$I10)</f>
        <v>7800</v>
      </c>
      <c r="E10" s="48">
        <f>IF($B10="","",الموظفون!$J10)</f>
        <v>260</v>
      </c>
      <c r="F10" s="51">
        <f>IF($B10="","",الإعدادات!$C$25)</f>
        <v>30</v>
      </c>
      <c r="G10" s="51">
        <f>IF($B10="","",الحضور!$G12)</f>
        <v>0</v>
      </c>
      <c r="H10" s="51">
        <f>IF($B10="","",الحضور!$AV12)</f>
        <v>0</v>
      </c>
      <c r="I10" s="77">
        <f>IF($B10="","",ROUND(الحضور!$AT12*0.25+الحضور!$AU12*1,2))</f>
        <v>0</v>
      </c>
      <c r="J10" s="48">
        <f t="shared" si="0"/>
        <v>0</v>
      </c>
      <c r="K10" s="48">
        <f t="shared" si="1"/>
        <v>0</v>
      </c>
      <c r="L10" s="48">
        <f t="shared" si="2"/>
        <v>0</v>
      </c>
      <c r="M10" s="48">
        <f>IF($B10="","",الجزاءات!$M26)</f>
        <v>1300</v>
      </c>
      <c r="N10" s="46">
        <f>IF($B10="","",الحضور!$K12)</f>
        <v>2.6100000000000003</v>
      </c>
      <c r="O10" s="48">
        <f>IF($B10="","",ROUND($N10*الموظفون!$K10*الإعدادات!$C$40,2))</f>
        <v>146.81</v>
      </c>
      <c r="P10" s="79">
        <f t="shared" si="3"/>
        <v>1300</v>
      </c>
      <c r="Q10" s="79">
        <f t="shared" si="4"/>
        <v>6646.81</v>
      </c>
    </row>
    <row r="11" spans="1:17" ht="16.5" customHeight="1" x14ac:dyDescent="0.35">
      <c r="A11" s="18">
        <v>6</v>
      </c>
      <c r="B11" s="62" t="str">
        <f>IF(الحضور!$B13="","",الحضور!$B13)</f>
        <v>EMP-006</v>
      </c>
      <c r="C11" s="61" t="str">
        <f>IF($B11="","",الحضور!$C13)</f>
        <v>سلطان الحربي</v>
      </c>
      <c r="D11" s="64">
        <f>IF($B11="","",الموظفون!$I11)</f>
        <v>9200</v>
      </c>
      <c r="E11" s="48">
        <f>IF($B11="","",الموظفون!$J11)</f>
        <v>306.67</v>
      </c>
      <c r="F11" s="51">
        <f>IF($B11="","",الإعدادات!$C$25)</f>
        <v>30</v>
      </c>
      <c r="G11" s="51">
        <f>IF($B11="","",الحضور!$G13)</f>
        <v>0</v>
      </c>
      <c r="H11" s="51">
        <f>IF($B11="","",الحضور!$AV13)</f>
        <v>0</v>
      </c>
      <c r="I11" s="77">
        <f>IF($B11="","",ROUND(الحضور!$AT13*0.25+الحضور!$AU13*1,2))</f>
        <v>0</v>
      </c>
      <c r="J11" s="48">
        <f t="shared" si="0"/>
        <v>0</v>
      </c>
      <c r="K11" s="48">
        <f t="shared" si="1"/>
        <v>0</v>
      </c>
      <c r="L11" s="48">
        <f t="shared" si="2"/>
        <v>0</v>
      </c>
      <c r="M11" s="48">
        <f>IF($B11="","",الجزاءات!$M27)</f>
        <v>0</v>
      </c>
      <c r="N11" s="46">
        <f>IF($B11="","",الحضور!$K13)</f>
        <v>0</v>
      </c>
      <c r="O11" s="48">
        <f>IF($B11="","",ROUND($N11*الموظفون!$K11*الإعدادات!$C$40,2))</f>
        <v>0</v>
      </c>
      <c r="P11" s="79">
        <f t="shared" si="3"/>
        <v>0</v>
      </c>
      <c r="Q11" s="79">
        <f t="shared" si="4"/>
        <v>9200</v>
      </c>
    </row>
    <row r="12" spans="1:17" ht="16.5" customHeight="1" x14ac:dyDescent="0.35">
      <c r="A12" s="18">
        <v>7</v>
      </c>
      <c r="B12" s="62" t="str">
        <f>IF(الحضور!$B14="","",الحضور!$B14)</f>
        <v>EMP-007</v>
      </c>
      <c r="C12" s="61" t="str">
        <f>IF($B12="","",الحضور!$C14)</f>
        <v>كريم سعيد الخولي</v>
      </c>
      <c r="D12" s="64">
        <f>IF($B12="","",الموظفون!$I12)</f>
        <v>6500</v>
      </c>
      <c r="E12" s="48">
        <f>IF($B12="","",الموظفون!$J12)</f>
        <v>216.67</v>
      </c>
      <c r="F12" s="51">
        <f>IF($B12="","",الإعدادات!$C$25)</f>
        <v>30</v>
      </c>
      <c r="G12" s="51">
        <f>IF($B12="","",الحضور!$G14)</f>
        <v>0</v>
      </c>
      <c r="H12" s="51">
        <f>IF($B12="","",الحضور!$AV14)</f>
        <v>0</v>
      </c>
      <c r="I12" s="77">
        <f>IF($B12="","",ROUND(الحضور!$AT14*0.25+الحضور!$AU14*1,2))</f>
        <v>0</v>
      </c>
      <c r="J12" s="48">
        <f t="shared" si="0"/>
        <v>0</v>
      </c>
      <c r="K12" s="48">
        <f t="shared" si="1"/>
        <v>0</v>
      </c>
      <c r="L12" s="48">
        <f t="shared" si="2"/>
        <v>0</v>
      </c>
      <c r="M12" s="48">
        <f>IF($B12="","",الجزاءات!$M28)</f>
        <v>0</v>
      </c>
      <c r="N12" s="46">
        <f>IF($B12="","",الحضور!$K14)</f>
        <v>0</v>
      </c>
      <c r="O12" s="48">
        <f>IF($B12="","",ROUND($N12*الموظفون!$K12*الإعدادات!$C$40,2))</f>
        <v>0</v>
      </c>
      <c r="P12" s="79">
        <f t="shared" si="3"/>
        <v>0</v>
      </c>
      <c r="Q12" s="79">
        <f t="shared" si="4"/>
        <v>6500</v>
      </c>
    </row>
    <row r="13" spans="1:17" ht="16.5" customHeight="1" x14ac:dyDescent="0.35">
      <c r="A13" s="18">
        <v>8</v>
      </c>
      <c r="B13" s="62" t="str">
        <f>IF(الحضور!$B15="","",الحضور!$B15)</f>
        <v>EMP-008</v>
      </c>
      <c r="C13" s="61" t="str">
        <f>IF($B13="","",الحضور!$C15)</f>
        <v>بندر الغامدي</v>
      </c>
      <c r="D13" s="64">
        <f>IF($B13="","",الموظفون!$I13)</f>
        <v>14500</v>
      </c>
      <c r="E13" s="48">
        <f>IF($B13="","",الموظفون!$J13)</f>
        <v>483.33</v>
      </c>
      <c r="F13" s="51">
        <f>IF($B13="","",الإعدادات!$C$25)</f>
        <v>30</v>
      </c>
      <c r="G13" s="51">
        <f>IF($B13="","",الحضور!$G15)</f>
        <v>2</v>
      </c>
      <c r="H13" s="51">
        <f>IF($B13="","",الحضور!$AV15)</f>
        <v>0</v>
      </c>
      <c r="I13" s="77">
        <f>IF($B13="","",ROUND(الحضور!$AT15*0.25+الحضور!$AU15*1,2))</f>
        <v>0</v>
      </c>
      <c r="J13" s="48">
        <f t="shared" si="0"/>
        <v>966.66</v>
      </c>
      <c r="K13" s="48">
        <f t="shared" si="1"/>
        <v>0</v>
      </c>
      <c r="L13" s="48">
        <f t="shared" si="2"/>
        <v>0</v>
      </c>
      <c r="M13" s="48">
        <f>IF($B13="","",الجزاءات!$M29)</f>
        <v>966.66</v>
      </c>
      <c r="N13" s="46">
        <f>IF($B13="","",الحضور!$K15)</f>
        <v>0</v>
      </c>
      <c r="O13" s="48">
        <f>IF($B13="","",ROUND($N13*الموظفون!$K13*الإعدادات!$C$40,2))</f>
        <v>0</v>
      </c>
      <c r="P13" s="79">
        <f t="shared" si="3"/>
        <v>1933.32</v>
      </c>
      <c r="Q13" s="79">
        <f t="shared" si="4"/>
        <v>12566.68</v>
      </c>
    </row>
    <row r="14" spans="1:17" ht="16.5" customHeight="1" x14ac:dyDescent="0.35">
      <c r="A14" s="18">
        <v>9</v>
      </c>
      <c r="B14" s="62" t="str">
        <f>IF(الحضور!$B16="","",الحضور!$B16)</f>
        <v>EMP-009</v>
      </c>
      <c r="C14" s="61" t="str">
        <f>IF($B14="","",الحضور!$C16)</f>
        <v>عمر شعبان النجار</v>
      </c>
      <c r="D14" s="64">
        <f>IF($B14="","",الموظفون!$I14)</f>
        <v>7200</v>
      </c>
      <c r="E14" s="48">
        <f>IF($B14="","",الموظفون!$J14)</f>
        <v>240</v>
      </c>
      <c r="F14" s="51">
        <f>IF($B14="","",الإعدادات!$C$25)</f>
        <v>30</v>
      </c>
      <c r="G14" s="51">
        <f>IF($B14="","",الحضور!$G16)</f>
        <v>8</v>
      </c>
      <c r="H14" s="51">
        <f>IF($B14="","",الحضور!$AV16)</f>
        <v>0</v>
      </c>
      <c r="I14" s="77">
        <f>IF($B14="","",ROUND(الحضور!$AT16*0.25+الحضور!$AU16*1,2))</f>
        <v>0</v>
      </c>
      <c r="J14" s="48">
        <f t="shared" si="0"/>
        <v>1920</v>
      </c>
      <c r="K14" s="48">
        <f t="shared" si="1"/>
        <v>0</v>
      </c>
      <c r="L14" s="48">
        <f t="shared" si="2"/>
        <v>0</v>
      </c>
      <c r="M14" s="48">
        <f>IF($B14="","",الجزاءات!$M30)</f>
        <v>960</v>
      </c>
      <c r="N14" s="46">
        <f>IF($B14="","",الحضور!$K16)</f>
        <v>0</v>
      </c>
      <c r="O14" s="48">
        <f>IF($B14="","",ROUND($N14*الموظفون!$K14*الإعدادات!$C$40,2))</f>
        <v>0</v>
      </c>
      <c r="P14" s="79">
        <f t="shared" si="3"/>
        <v>2880</v>
      </c>
      <c r="Q14" s="79">
        <f t="shared" si="4"/>
        <v>4320</v>
      </c>
    </row>
    <row r="15" spans="1:17" ht="16.5" customHeight="1" x14ac:dyDescent="0.35">
      <c r="A15" s="18">
        <v>10</v>
      </c>
      <c r="B15" s="62" t="str">
        <f>IF(الحضور!$B17="","",الحضور!$B17)</f>
        <v>EMP-010</v>
      </c>
      <c r="C15" s="61" t="str">
        <f>IF($B15="","",الحضور!$C17)</f>
        <v>ماجد الدوسري</v>
      </c>
      <c r="D15" s="64">
        <f>IF($B15="","",الموظفون!$I15)</f>
        <v>15000</v>
      </c>
      <c r="E15" s="48">
        <f>IF($B15="","",الموظفون!$J15)</f>
        <v>500</v>
      </c>
      <c r="F15" s="51">
        <f>IF($B15="","",الإعدادات!$C$25)</f>
        <v>30</v>
      </c>
      <c r="G15" s="51">
        <f>IF($B15="","",الحضور!$G17)</f>
        <v>0</v>
      </c>
      <c r="H15" s="51">
        <f>IF($B15="","",الحضور!$AV17)</f>
        <v>0</v>
      </c>
      <c r="I15" s="77">
        <f>IF($B15="","",ROUND(الحضور!$AT17*0.25+الحضور!$AU17*1,2))</f>
        <v>0</v>
      </c>
      <c r="J15" s="48">
        <f t="shared" si="0"/>
        <v>0</v>
      </c>
      <c r="K15" s="48">
        <f t="shared" si="1"/>
        <v>0</v>
      </c>
      <c r="L15" s="48">
        <f t="shared" si="2"/>
        <v>0</v>
      </c>
      <c r="M15" s="48">
        <f>IF($B15="","",الجزاءات!$M31)</f>
        <v>0</v>
      </c>
      <c r="N15" s="46">
        <f>IF($B15="","",الحضور!$K17)</f>
        <v>2</v>
      </c>
      <c r="O15" s="48">
        <f>IF($B15="","",ROUND($N15*الموظفون!$K15*الإعدادات!$C$40,2))</f>
        <v>216.36</v>
      </c>
      <c r="P15" s="79">
        <f t="shared" si="3"/>
        <v>0</v>
      </c>
      <c r="Q15" s="79">
        <f t="shared" si="4"/>
        <v>15216.36</v>
      </c>
    </row>
    <row r="16" spans="1:17" ht="16.5" customHeight="1" x14ac:dyDescent="0.35">
      <c r="A16" s="18">
        <v>11</v>
      </c>
      <c r="B16" s="62" t="str">
        <f>IF(الحضور!$B18="","",الحضور!$B18)</f>
        <v>EMP-011</v>
      </c>
      <c r="C16" s="61" t="str">
        <f>IF($B16="","",الحضور!$C18)</f>
        <v>هبة رمضان عبد الحميد</v>
      </c>
      <c r="D16" s="64">
        <f>IF($B16="","",الموظفون!$I16)</f>
        <v>6800</v>
      </c>
      <c r="E16" s="48">
        <f>IF($B16="","",الموظفون!$J16)</f>
        <v>226.67</v>
      </c>
      <c r="F16" s="51">
        <f>IF($B16="","",الإعدادات!$C$25)</f>
        <v>30</v>
      </c>
      <c r="G16" s="51">
        <f>IF($B16="","",الحضور!$G18)</f>
        <v>0</v>
      </c>
      <c r="H16" s="51">
        <f>IF($B16="","",الحضور!$AV18)</f>
        <v>0</v>
      </c>
      <c r="I16" s="77">
        <f>IF($B16="","",ROUND(الحضور!$AT18*0.25+الحضور!$AU18*1,2))</f>
        <v>0</v>
      </c>
      <c r="J16" s="48">
        <f t="shared" si="0"/>
        <v>0</v>
      </c>
      <c r="K16" s="48">
        <f t="shared" si="1"/>
        <v>0</v>
      </c>
      <c r="L16" s="48">
        <f t="shared" si="2"/>
        <v>0</v>
      </c>
      <c r="M16" s="48">
        <f>IF($B16="","",الجزاءات!$M32)</f>
        <v>0</v>
      </c>
      <c r="N16" s="46">
        <f>IF($B16="","",الحضور!$K18)</f>
        <v>0</v>
      </c>
      <c r="O16" s="48">
        <f>IF($B16="","",ROUND($N16*الموظفون!$K16*الإعدادات!$C$40,2))</f>
        <v>0</v>
      </c>
      <c r="P16" s="79">
        <f t="shared" si="3"/>
        <v>0</v>
      </c>
      <c r="Q16" s="79">
        <f t="shared" si="4"/>
        <v>6800</v>
      </c>
    </row>
    <row r="17" spans="1:17" ht="16.5" customHeight="1" x14ac:dyDescent="0.35">
      <c r="A17" s="18">
        <v>12</v>
      </c>
      <c r="B17" s="62" t="str">
        <f>IF(الحضور!$B19="","",الحضور!$B19)</f>
        <v>EMP-012</v>
      </c>
      <c r="C17" s="61" t="str">
        <f>IF($B17="","",الحضور!$C19)</f>
        <v>نورة العمري</v>
      </c>
      <c r="D17" s="64">
        <f>IF($B17="","",الموظفون!$I17)</f>
        <v>7400</v>
      </c>
      <c r="E17" s="48">
        <f>IF($B17="","",الموظفون!$J17)</f>
        <v>246.67</v>
      </c>
      <c r="F17" s="51">
        <f>IF($B17="","",الإعدادات!$C$25)</f>
        <v>30</v>
      </c>
      <c r="G17" s="51">
        <f>IF($B17="","",الحضور!$G19)</f>
        <v>1</v>
      </c>
      <c r="H17" s="51">
        <f>IF($B17="","",الحضور!$AV19)</f>
        <v>0</v>
      </c>
      <c r="I17" s="77">
        <f>IF($B17="","",ROUND(الحضور!$AT19*0.25+الحضور!$AU19*1,2))</f>
        <v>0</v>
      </c>
      <c r="J17" s="48">
        <f t="shared" si="0"/>
        <v>246.67</v>
      </c>
      <c r="K17" s="48">
        <f t="shared" si="1"/>
        <v>0</v>
      </c>
      <c r="L17" s="48">
        <f t="shared" si="2"/>
        <v>0</v>
      </c>
      <c r="M17" s="48">
        <f>IF($B17="","",الجزاءات!$M33)</f>
        <v>123.34</v>
      </c>
      <c r="N17" s="46">
        <f>IF($B17="","",الحضور!$K19)</f>
        <v>0.92</v>
      </c>
      <c r="O17" s="48">
        <f>IF($B17="","",ROUND($N17*الموظفون!$K17*الإعدادات!$C$40,2))</f>
        <v>49.1</v>
      </c>
      <c r="P17" s="79">
        <f t="shared" si="3"/>
        <v>370.01</v>
      </c>
      <c r="Q17" s="79">
        <f t="shared" si="4"/>
        <v>7079.09</v>
      </c>
    </row>
    <row r="18" spans="1:17" ht="16.5" customHeight="1" x14ac:dyDescent="0.35">
      <c r="A18" s="18">
        <v>13</v>
      </c>
      <c r="B18" s="62" t="str">
        <f>IF(الحضور!$B20="","",الحضور!$B20)</f>
        <v>EMP-013</v>
      </c>
      <c r="C18" s="61" t="str">
        <f>IF($B18="","",الحضور!$C20)</f>
        <v>داليا فؤاد الشناوي</v>
      </c>
      <c r="D18" s="64">
        <f>IF($B18="","",الموظفون!$I18)</f>
        <v>5900</v>
      </c>
      <c r="E18" s="48">
        <f>IF($B18="","",الموظفون!$J18)</f>
        <v>196.67</v>
      </c>
      <c r="F18" s="51">
        <f>IF($B18="","",الإعدادات!$C$25)</f>
        <v>30</v>
      </c>
      <c r="G18" s="51">
        <f>IF($B18="","",الحضور!$G20)</f>
        <v>0</v>
      </c>
      <c r="H18" s="51">
        <f>IF($B18="","",الحضور!$AV20)</f>
        <v>0</v>
      </c>
      <c r="I18" s="77">
        <f>IF($B18="","",ROUND(الحضور!$AT20*0.25+الحضور!$AU20*1,2))</f>
        <v>0</v>
      </c>
      <c r="J18" s="48">
        <f t="shared" si="0"/>
        <v>0</v>
      </c>
      <c r="K18" s="48">
        <f t="shared" si="1"/>
        <v>0</v>
      </c>
      <c r="L18" s="48">
        <f t="shared" si="2"/>
        <v>0</v>
      </c>
      <c r="M18" s="48">
        <f>IF($B18="","",الجزاءات!$M34)</f>
        <v>0</v>
      </c>
      <c r="N18" s="46">
        <f>IF($B18="","",الحضور!$K20)</f>
        <v>0</v>
      </c>
      <c r="O18" s="48">
        <f>IF($B18="","",ROUND($N18*الموظفون!$K18*الإعدادات!$C$40,2))</f>
        <v>0</v>
      </c>
      <c r="P18" s="79">
        <f t="shared" si="3"/>
        <v>0</v>
      </c>
      <c r="Q18" s="79">
        <f t="shared" si="4"/>
        <v>5900</v>
      </c>
    </row>
    <row r="19" spans="1:17" ht="16.5" customHeight="1" x14ac:dyDescent="0.35">
      <c r="A19" s="18">
        <v>14</v>
      </c>
      <c r="B19" s="62" t="str">
        <f>IF(الحضور!$B21="","",الحضور!$B21)</f>
        <v>EMP-014</v>
      </c>
      <c r="C19" s="61" t="str">
        <f>IF($B19="","",الحضور!$C21)</f>
        <v>لطيفة الشهري</v>
      </c>
      <c r="D19" s="64">
        <f>IF($B19="","",الموظفون!$I19)</f>
        <v>10200</v>
      </c>
      <c r="E19" s="48">
        <f>IF($B19="","",الموظفون!$J19)</f>
        <v>340</v>
      </c>
      <c r="F19" s="51">
        <f>IF($B19="","",الإعدادات!$C$25)</f>
        <v>30</v>
      </c>
      <c r="G19" s="51">
        <f>IF($B19="","",الحضور!$G21)</f>
        <v>0</v>
      </c>
      <c r="H19" s="51">
        <f>IF($B19="","",الحضور!$AV21)</f>
        <v>0</v>
      </c>
      <c r="I19" s="77">
        <f>IF($B19="","",ROUND(الحضور!$AT21*0.25+الحضور!$AU21*1,2))</f>
        <v>0</v>
      </c>
      <c r="J19" s="48">
        <f t="shared" si="0"/>
        <v>0</v>
      </c>
      <c r="K19" s="48">
        <f t="shared" si="1"/>
        <v>0</v>
      </c>
      <c r="L19" s="48">
        <f t="shared" si="2"/>
        <v>0</v>
      </c>
      <c r="M19" s="48">
        <f>IF($B19="","",الجزاءات!$M35)</f>
        <v>0</v>
      </c>
      <c r="N19" s="46">
        <f>IF($B19="","",الحضور!$K21)</f>
        <v>0</v>
      </c>
      <c r="O19" s="48">
        <f>IF($B19="","",ROUND($N19*الموظفون!$K19*الإعدادات!$C$40,2))</f>
        <v>0</v>
      </c>
      <c r="P19" s="79">
        <f t="shared" si="3"/>
        <v>0</v>
      </c>
      <c r="Q19" s="79">
        <f t="shared" si="4"/>
        <v>10200</v>
      </c>
    </row>
    <row r="20" spans="1:17" ht="16.5" customHeight="1" x14ac:dyDescent="0.35">
      <c r="A20" s="18">
        <v>15</v>
      </c>
      <c r="B20" s="62" t="str">
        <f>IF(الحضور!$B22="","",الحضور!$B22)</f>
        <v>EMP-015</v>
      </c>
      <c r="C20" s="61" t="str">
        <f>IF($B20="","",الحضور!$C22)</f>
        <v>سارة الشريف عبد الله</v>
      </c>
      <c r="D20" s="64">
        <f>IF($B20="","",الموظفون!$I20)</f>
        <v>6200</v>
      </c>
      <c r="E20" s="48">
        <f>IF($B20="","",الموظفون!$J20)</f>
        <v>206.67</v>
      </c>
      <c r="F20" s="51">
        <f>IF($B20="","",الإعدادات!$C$25)</f>
        <v>30</v>
      </c>
      <c r="G20" s="51">
        <f>IF($B20="","",الحضور!$G22)</f>
        <v>0</v>
      </c>
      <c r="H20" s="51">
        <f>IF($B20="","",الحضور!$AV22)</f>
        <v>0</v>
      </c>
      <c r="I20" s="77">
        <f>IF($B20="","",ROUND(الحضور!$AT22*0.25+الحضور!$AU22*1,2))</f>
        <v>0</v>
      </c>
      <c r="J20" s="48">
        <f t="shared" si="0"/>
        <v>0</v>
      </c>
      <c r="K20" s="48">
        <f t="shared" si="1"/>
        <v>0</v>
      </c>
      <c r="L20" s="48">
        <f t="shared" si="2"/>
        <v>0</v>
      </c>
      <c r="M20" s="48">
        <f>IF($B20="","",الجزاءات!$M36)</f>
        <v>1033.3499999999999</v>
      </c>
      <c r="N20" s="46">
        <f>IF($B20="","",الحضور!$K22)</f>
        <v>6.2700000000000005</v>
      </c>
      <c r="O20" s="48">
        <f>IF($B20="","",ROUND($N20*الموظفون!$K20*الإعدادات!$C$40,2))</f>
        <v>280.36</v>
      </c>
      <c r="P20" s="79">
        <f t="shared" si="3"/>
        <v>1033.3499999999999</v>
      </c>
      <c r="Q20" s="79">
        <f t="shared" si="4"/>
        <v>5447.01</v>
      </c>
    </row>
    <row r="21" spans="1:17" ht="16.5" customHeight="1" x14ac:dyDescent="0.35">
      <c r="A21" s="18">
        <v>16</v>
      </c>
      <c r="B21" s="62" t="str">
        <f>IF(الحضور!$B23="","",الحضور!$B23)</f>
        <v>EMP-016</v>
      </c>
      <c r="C21" s="61" t="str">
        <f>IF($B21="","",الحضور!$C23)</f>
        <v>ريم القحطاني</v>
      </c>
      <c r="D21" s="64">
        <f>IF($B21="","",الموظفون!$I21)</f>
        <v>5600</v>
      </c>
      <c r="E21" s="48">
        <f>IF($B21="","",الموظفون!$J21)</f>
        <v>186.67</v>
      </c>
      <c r="F21" s="51">
        <f>IF($B21="","",الإعدادات!$C$25)</f>
        <v>30</v>
      </c>
      <c r="G21" s="51">
        <f>IF($B21="","",الحضور!$G23)</f>
        <v>0</v>
      </c>
      <c r="H21" s="51">
        <f>IF($B21="","",الحضور!$AV23)</f>
        <v>0</v>
      </c>
      <c r="I21" s="77">
        <f>IF($B21="","",ROUND(الحضور!$AT23*0.25+الحضور!$AU23*1,2))</f>
        <v>0</v>
      </c>
      <c r="J21" s="48">
        <f t="shared" si="0"/>
        <v>0</v>
      </c>
      <c r="K21" s="48">
        <f t="shared" si="1"/>
        <v>0</v>
      </c>
      <c r="L21" s="48">
        <f t="shared" si="2"/>
        <v>0</v>
      </c>
      <c r="M21" s="48">
        <f>IF($B21="","",الجزاءات!$M37)</f>
        <v>0</v>
      </c>
      <c r="N21" s="46">
        <f>IF($B21="","",الحضور!$K23)</f>
        <v>3.92</v>
      </c>
      <c r="O21" s="48">
        <f>IF($B21="","",ROUND($N21*الموظفون!$K21*الإعدادات!$C$40,2))</f>
        <v>158.29</v>
      </c>
      <c r="P21" s="79">
        <f t="shared" si="3"/>
        <v>0</v>
      </c>
      <c r="Q21" s="79">
        <f t="shared" si="4"/>
        <v>5758.29</v>
      </c>
    </row>
    <row r="22" spans="1:17" ht="16.5" customHeight="1" x14ac:dyDescent="0.35">
      <c r="A22" s="18">
        <v>17</v>
      </c>
      <c r="B22" s="62" t="str">
        <f>IF(الحضور!$B24="","",الحضور!$B24)</f>
        <v>EMP-017</v>
      </c>
      <c r="C22" s="61" t="str">
        <f>IF($B22="","",الحضور!$C24)</f>
        <v>منى الغزالي</v>
      </c>
      <c r="D22" s="64">
        <f>IF($B22="","",الموظفون!$I22)</f>
        <v>7100</v>
      </c>
      <c r="E22" s="48">
        <f>IF($B22="","",الموظفون!$J22)</f>
        <v>236.67</v>
      </c>
      <c r="F22" s="51">
        <f>IF($B22="","",الإعدادات!$C$25)</f>
        <v>30</v>
      </c>
      <c r="G22" s="51">
        <f>IF($B22="","",الحضور!$G24)</f>
        <v>1</v>
      </c>
      <c r="H22" s="51">
        <f>IF($B22="","",الحضور!$AV24)</f>
        <v>0</v>
      </c>
      <c r="I22" s="77">
        <f>IF($B22="","",ROUND(الحضور!$AT24*0.25+الحضور!$AU24*1,2))</f>
        <v>0</v>
      </c>
      <c r="J22" s="48">
        <f t="shared" si="0"/>
        <v>236.67</v>
      </c>
      <c r="K22" s="48">
        <f t="shared" si="1"/>
        <v>0</v>
      </c>
      <c r="L22" s="48">
        <f t="shared" si="2"/>
        <v>0</v>
      </c>
      <c r="M22" s="48">
        <f>IF($B22="","",الجزاءات!$M38)</f>
        <v>118.34</v>
      </c>
      <c r="N22" s="46">
        <f>IF($B22="","",الحضور!$K24)</f>
        <v>0</v>
      </c>
      <c r="O22" s="48">
        <f>IF($B22="","",ROUND($N22*الموظفون!$K22*الإعدادات!$C$40,2))</f>
        <v>0</v>
      </c>
      <c r="P22" s="79">
        <f t="shared" si="3"/>
        <v>355.01</v>
      </c>
      <c r="Q22" s="79">
        <f t="shared" si="4"/>
        <v>6744.99</v>
      </c>
    </row>
    <row r="23" spans="1:17" ht="16.5" customHeight="1" x14ac:dyDescent="0.35">
      <c r="A23" s="18">
        <v>18</v>
      </c>
      <c r="B23" s="62" t="str">
        <f>IF(الحضور!$B25="","",الحضور!$B25)</f>
        <v>EMP-018</v>
      </c>
      <c r="C23" s="61" t="str">
        <f>IF($B23="","",الحضور!$C25)</f>
        <v>هيا الغانم</v>
      </c>
      <c r="D23" s="64">
        <f>IF($B23="","",الموظفون!$I23)</f>
        <v>8600</v>
      </c>
      <c r="E23" s="48">
        <f>IF($B23="","",الموظفون!$J23)</f>
        <v>286.67</v>
      </c>
      <c r="F23" s="51">
        <f>IF($B23="","",الإعدادات!$C$25)</f>
        <v>30</v>
      </c>
      <c r="G23" s="51">
        <f>IF($B23="","",الحضور!$G25)</f>
        <v>5</v>
      </c>
      <c r="H23" s="51">
        <f>IF($B23="","",الحضور!$AV25)</f>
        <v>0</v>
      </c>
      <c r="I23" s="77">
        <f>IF($B23="","",ROUND(الحضور!$AT25*0.25+الحضور!$AU25*1,2))</f>
        <v>0</v>
      </c>
      <c r="J23" s="48">
        <f t="shared" si="0"/>
        <v>1433.35</v>
      </c>
      <c r="K23" s="48">
        <f t="shared" si="1"/>
        <v>0</v>
      </c>
      <c r="L23" s="48">
        <f t="shared" si="2"/>
        <v>0</v>
      </c>
      <c r="M23" s="48">
        <f>IF($B23="","",الجزاءات!$M39)</f>
        <v>573.34</v>
      </c>
      <c r="N23" s="46">
        <f>IF($B23="","",الحضور!$K25)</f>
        <v>0</v>
      </c>
      <c r="O23" s="48">
        <f>IF($B23="","",ROUND($N23*الموظفون!$K23*الإعدادات!$C$40,2))</f>
        <v>0</v>
      </c>
      <c r="P23" s="79">
        <f t="shared" si="3"/>
        <v>2006.69</v>
      </c>
      <c r="Q23" s="79">
        <f t="shared" si="4"/>
        <v>6593.31</v>
      </c>
    </row>
    <row r="24" spans="1:17" ht="16.5" customHeight="1" x14ac:dyDescent="0.35">
      <c r="A24" s="18">
        <v>19</v>
      </c>
      <c r="B24" s="62" t="str">
        <f>IF(الحضور!$B26="","",الحضور!$B26)</f>
        <v>EMP-019</v>
      </c>
      <c r="C24" s="61" t="str">
        <f>IF($B24="","",الحضور!$C26)</f>
        <v>رانيا الخولي</v>
      </c>
      <c r="D24" s="64">
        <f>IF($B24="","",الموظفون!$I24)</f>
        <v>9800</v>
      </c>
      <c r="E24" s="48">
        <f>IF($B24="","",الموظفون!$J24)</f>
        <v>326.67</v>
      </c>
      <c r="F24" s="51">
        <f>IF($B24="","",الإعدادات!$C$25)</f>
        <v>30</v>
      </c>
      <c r="G24" s="51">
        <f>IF($B24="","",الحضور!$G26)</f>
        <v>0</v>
      </c>
      <c r="H24" s="51">
        <f>IF($B24="","",الحضور!$AV26)</f>
        <v>0</v>
      </c>
      <c r="I24" s="77">
        <f>IF($B24="","",ROUND(الحضور!$AT26*0.25+الحضور!$AU26*1,2))</f>
        <v>0</v>
      </c>
      <c r="J24" s="48">
        <f t="shared" si="0"/>
        <v>0</v>
      </c>
      <c r="K24" s="48">
        <f t="shared" si="1"/>
        <v>0</v>
      </c>
      <c r="L24" s="48">
        <f t="shared" si="2"/>
        <v>0</v>
      </c>
      <c r="M24" s="48">
        <f>IF($B24="","",الجزاءات!$M40)</f>
        <v>0</v>
      </c>
      <c r="N24" s="46">
        <f>IF($B24="","",الحضور!$K26)</f>
        <v>1.67</v>
      </c>
      <c r="O24" s="48">
        <f>IF($B24="","",ROUND($N24*الموظفون!$K24*الإعدادات!$C$40,2))</f>
        <v>118.04</v>
      </c>
      <c r="P24" s="79">
        <f t="shared" si="3"/>
        <v>0</v>
      </c>
      <c r="Q24" s="79">
        <f t="shared" si="4"/>
        <v>9918.0400000000009</v>
      </c>
    </row>
    <row r="25" spans="1:17" ht="16.5" customHeight="1" x14ac:dyDescent="0.35">
      <c r="A25" s="18">
        <v>20</v>
      </c>
      <c r="B25" s="62" t="str">
        <f>IF(الحضور!$B27="","",الحضور!$B27)</f>
        <v>EMP-020</v>
      </c>
      <c r="C25" s="61" t="str">
        <f>IF($B25="","",الحضور!$C27)</f>
        <v>أروى العسيري</v>
      </c>
      <c r="D25" s="64">
        <f>IF($B25="","",الموظفون!$I25)</f>
        <v>6000</v>
      </c>
      <c r="E25" s="48">
        <f>IF($B25="","",الموظفون!$J25)</f>
        <v>200</v>
      </c>
      <c r="F25" s="51">
        <f>IF($B25="","",الإعدادات!$C$25)</f>
        <v>30</v>
      </c>
      <c r="G25" s="51">
        <f>IF($B25="","",الحضور!$G27)</f>
        <v>0</v>
      </c>
      <c r="H25" s="51">
        <f>IF($B25="","",الحضور!$AV27)</f>
        <v>0</v>
      </c>
      <c r="I25" s="77">
        <f>IF($B25="","",ROUND(الحضور!$AT27*0.25+الحضور!$AU27*1,2))</f>
        <v>0</v>
      </c>
      <c r="J25" s="48">
        <f t="shared" si="0"/>
        <v>0</v>
      </c>
      <c r="K25" s="48">
        <f t="shared" si="1"/>
        <v>0</v>
      </c>
      <c r="L25" s="48">
        <f t="shared" si="2"/>
        <v>0</v>
      </c>
      <c r="M25" s="48">
        <f>IF($B25="","",الجزاءات!$M41)</f>
        <v>0</v>
      </c>
      <c r="N25" s="46">
        <f>IF($B25="","",الحضور!$K27)</f>
        <v>0</v>
      </c>
      <c r="O25" s="48">
        <f>IF($B25="","",ROUND($N25*الموظفون!$K25*الإعدادات!$C$40,2))</f>
        <v>0</v>
      </c>
      <c r="P25" s="79">
        <f t="shared" si="3"/>
        <v>0</v>
      </c>
      <c r="Q25" s="79">
        <f t="shared" si="4"/>
        <v>6000</v>
      </c>
    </row>
    <row r="26" spans="1:17" ht="16.5" customHeight="1" x14ac:dyDescent="0.35">
      <c r="A26" s="18">
        <v>21</v>
      </c>
      <c r="B26" s="62" t="str">
        <f>IF(الحضور!$B28="","",الحضور!$B28)</f>
        <v>EMP-021</v>
      </c>
      <c r="C26" s="61" t="str">
        <f>IF($B26="","",الحضور!$C28)</f>
        <v>مصطفى فهمي عبد الجواد</v>
      </c>
      <c r="D26" s="64">
        <f>IF($B26="","",الموظفون!$I26)</f>
        <v>6900</v>
      </c>
      <c r="E26" s="48">
        <f>IF($B26="","",الموظفون!$J26)</f>
        <v>230</v>
      </c>
      <c r="F26" s="51">
        <f>IF($B26="","",الإعدادات!$C$25)</f>
        <v>30</v>
      </c>
      <c r="G26" s="51">
        <f>IF($B26="","",الحضور!$G28)</f>
        <v>0</v>
      </c>
      <c r="H26" s="51">
        <f>IF($B26="","",الحضور!$AV28)</f>
        <v>0</v>
      </c>
      <c r="I26" s="77">
        <f>IF($B26="","",ROUND(الحضور!$AT28*0.25+الحضور!$AU28*1,2))</f>
        <v>0</v>
      </c>
      <c r="J26" s="48">
        <f t="shared" si="0"/>
        <v>0</v>
      </c>
      <c r="K26" s="48">
        <f t="shared" si="1"/>
        <v>0</v>
      </c>
      <c r="L26" s="48">
        <f t="shared" si="2"/>
        <v>0</v>
      </c>
      <c r="M26" s="48">
        <f>IF($B26="","",الجزاءات!$M42)</f>
        <v>0</v>
      </c>
      <c r="N26" s="46">
        <f>IF($B26="","",الحضور!$K28)</f>
        <v>0</v>
      </c>
      <c r="O26" s="48">
        <f>IF($B26="","",ROUND($N26*الموظفون!$K26*الإعدادات!$C$40,2))</f>
        <v>0</v>
      </c>
      <c r="P26" s="79">
        <f t="shared" si="3"/>
        <v>0</v>
      </c>
      <c r="Q26" s="79">
        <f t="shared" si="4"/>
        <v>6900</v>
      </c>
    </row>
    <row r="27" spans="1:17" ht="16.5" customHeight="1" x14ac:dyDescent="0.35">
      <c r="A27" s="18">
        <v>22</v>
      </c>
      <c r="B27" s="62" t="str">
        <f>IF(الحضور!$B29="","",الحضور!$B29)</f>
        <v>EMP-022</v>
      </c>
      <c r="C27" s="61" t="str">
        <f>IF($B27="","",الحضور!$C29)</f>
        <v>تركي العنزي</v>
      </c>
      <c r="D27" s="64">
        <f>IF($B27="","",الموظفون!$I27)</f>
        <v>13500</v>
      </c>
      <c r="E27" s="48">
        <f>IF($B27="","",الموظفون!$J27)</f>
        <v>450</v>
      </c>
      <c r="F27" s="51">
        <f>IF($B27="","",الإعدادات!$C$25)</f>
        <v>30</v>
      </c>
      <c r="G27" s="51">
        <f>IF($B27="","",الحضور!$G29)</f>
        <v>13</v>
      </c>
      <c r="H27" s="51">
        <f>IF($B27="","",الحضور!$AV29)</f>
        <v>0</v>
      </c>
      <c r="I27" s="77">
        <f>IF($B27="","",ROUND(الحضور!$AT29*0.25+الحضور!$AU29*1,2))</f>
        <v>0</v>
      </c>
      <c r="J27" s="48">
        <f t="shared" si="0"/>
        <v>5850</v>
      </c>
      <c r="K27" s="48">
        <f t="shared" si="1"/>
        <v>0</v>
      </c>
      <c r="L27" s="48">
        <f t="shared" si="2"/>
        <v>0</v>
      </c>
      <c r="M27" s="48">
        <f>IF($B27="","",الجزاءات!$M43)</f>
        <v>2250</v>
      </c>
      <c r="N27" s="46">
        <f>IF($B27="","",الحضور!$K29)</f>
        <v>1.92</v>
      </c>
      <c r="O27" s="48">
        <f>IF($B27="","",ROUND($N27*الموظفون!$K27*الإعدادات!$C$40,2))</f>
        <v>186.91</v>
      </c>
      <c r="P27" s="79">
        <f t="shared" si="3"/>
        <v>8100</v>
      </c>
      <c r="Q27" s="79">
        <f t="shared" si="4"/>
        <v>5586.91</v>
      </c>
    </row>
    <row r="28" spans="1:17" ht="16.5" customHeight="1" x14ac:dyDescent="0.35">
      <c r="A28" s="18">
        <v>23</v>
      </c>
      <c r="B28" s="62" t="str">
        <f>IF(الحضور!$B30="","",الحضور!$B30)</f>
        <v>EMP-023</v>
      </c>
      <c r="C28" s="61" t="str">
        <f>IF($B28="","",الحضور!$C30)</f>
        <v>تامر النجار</v>
      </c>
      <c r="D28" s="64">
        <f>IF($B28="","",الموظفون!$I28)</f>
        <v>6400</v>
      </c>
      <c r="E28" s="48">
        <f>IF($B28="","",الموظفون!$J28)</f>
        <v>213.33</v>
      </c>
      <c r="F28" s="51">
        <f>IF($B28="","",الإعدادات!$C$25)</f>
        <v>30</v>
      </c>
      <c r="G28" s="51">
        <f>IF($B28="","",الحضور!$G30)</f>
        <v>0</v>
      </c>
      <c r="H28" s="51">
        <f>IF($B28="","",الحضور!$AV30)</f>
        <v>0</v>
      </c>
      <c r="I28" s="77">
        <f>IF($B28="","",ROUND(الحضور!$AT30*0.25+الحضور!$AU30*1,2))</f>
        <v>0</v>
      </c>
      <c r="J28" s="48">
        <f t="shared" si="0"/>
        <v>0</v>
      </c>
      <c r="K28" s="48">
        <f t="shared" si="1"/>
        <v>0</v>
      </c>
      <c r="L28" s="48">
        <f t="shared" si="2"/>
        <v>0</v>
      </c>
      <c r="M28" s="48">
        <f>IF($B28="","",الجزاءات!$M44)</f>
        <v>0</v>
      </c>
      <c r="N28" s="46">
        <f>IF($B28="","",الحضور!$K30)</f>
        <v>0</v>
      </c>
      <c r="O28" s="48">
        <f>IF($B28="","",ROUND($N28*الموظفون!$K28*الإعدادات!$C$40,2))</f>
        <v>0</v>
      </c>
      <c r="P28" s="79">
        <f t="shared" si="3"/>
        <v>0</v>
      </c>
      <c r="Q28" s="79">
        <f t="shared" si="4"/>
        <v>6400</v>
      </c>
    </row>
    <row r="29" spans="1:17" ht="16.5" customHeight="1" x14ac:dyDescent="0.35">
      <c r="A29" s="18">
        <v>24</v>
      </c>
      <c r="B29" s="62" t="str">
        <f>IF(الحضور!$B31="","",الحضور!$B31)</f>
        <v>EMP-024</v>
      </c>
      <c r="C29" s="61" t="str">
        <f>IF($B29="","",الحضور!$C31)</f>
        <v>نايف السبيعي</v>
      </c>
      <c r="D29" s="64">
        <f>IF($B29="","",الموظفون!$I29)</f>
        <v>5500</v>
      </c>
      <c r="E29" s="48">
        <f>IF($B29="","",الموظفون!$J29)</f>
        <v>183.33</v>
      </c>
      <c r="F29" s="51">
        <f>IF($B29="","",الإعدادات!$C$25)</f>
        <v>30</v>
      </c>
      <c r="G29" s="51">
        <f>IF($B29="","",الحضور!$G31)</f>
        <v>0</v>
      </c>
      <c r="H29" s="51">
        <f>IF($B29="","",الحضور!$AV31)</f>
        <v>0</v>
      </c>
      <c r="I29" s="77">
        <f>IF($B29="","",ROUND(الحضور!$AT31*0.25+الحضور!$AU31*1,2))</f>
        <v>0</v>
      </c>
      <c r="J29" s="48">
        <f t="shared" si="0"/>
        <v>0</v>
      </c>
      <c r="K29" s="48">
        <f t="shared" si="1"/>
        <v>0</v>
      </c>
      <c r="L29" s="48">
        <f t="shared" si="2"/>
        <v>0</v>
      </c>
      <c r="M29" s="48">
        <f>IF($B29="","",الجزاءات!$M45)</f>
        <v>0</v>
      </c>
      <c r="N29" s="46">
        <f>IF($B29="","",الحضور!$K31)</f>
        <v>0</v>
      </c>
      <c r="O29" s="48">
        <f>IF($B29="","",ROUND($N29*الموظفون!$K29*الإعدادات!$C$40,2))</f>
        <v>0</v>
      </c>
      <c r="P29" s="79">
        <f t="shared" si="3"/>
        <v>0</v>
      </c>
      <c r="Q29" s="79">
        <f t="shared" si="4"/>
        <v>5500</v>
      </c>
    </row>
    <row r="30" spans="1:17" ht="16.5" customHeight="1" x14ac:dyDescent="0.35">
      <c r="A30" s="18">
        <v>25</v>
      </c>
      <c r="B30" s="62" t="str">
        <f>IF(الحضور!$B32="","",الحضور!$B32)</f>
        <v>EMP-025</v>
      </c>
      <c r="C30" s="61" t="str">
        <f>IF($B30="","",الحضور!$C32)</f>
        <v>إيمان صابر رفعت</v>
      </c>
      <c r="D30" s="64">
        <f>IF($B30="","",الموظفون!$I30)</f>
        <v>8900</v>
      </c>
      <c r="E30" s="48">
        <f>IF($B30="","",الموظفون!$J30)</f>
        <v>296.67</v>
      </c>
      <c r="F30" s="51">
        <f>IF($B30="","",الإعدادات!$C$25)</f>
        <v>30</v>
      </c>
      <c r="G30" s="51">
        <f>IF($B30="","",الحضور!$G32)</f>
        <v>0</v>
      </c>
      <c r="H30" s="51">
        <f>IF($B30="","",الحضور!$AV32)</f>
        <v>0</v>
      </c>
      <c r="I30" s="77">
        <f>IF($B30="","",ROUND(الحضور!$AT32*0.25+الحضور!$AU32*1,2))</f>
        <v>0</v>
      </c>
      <c r="J30" s="48">
        <f t="shared" si="0"/>
        <v>0</v>
      </c>
      <c r="K30" s="48">
        <f t="shared" si="1"/>
        <v>0</v>
      </c>
      <c r="L30" s="48">
        <f t="shared" si="2"/>
        <v>0</v>
      </c>
      <c r="M30" s="48">
        <f>IF($B30="","",الجزاءات!$M46)</f>
        <v>0</v>
      </c>
      <c r="N30" s="46">
        <f>IF($B30="","",الحضور!$K32)</f>
        <v>1</v>
      </c>
      <c r="O30" s="48">
        <f>IF($B30="","",ROUND($N30*الموظفون!$K30*الإعدادات!$C$40,2))</f>
        <v>64.19</v>
      </c>
      <c r="P30" s="79">
        <f t="shared" si="3"/>
        <v>0</v>
      </c>
      <c r="Q30" s="79">
        <f t="shared" si="4"/>
        <v>8964.19</v>
      </c>
    </row>
    <row r="31" spans="1:17" ht="16.5" customHeight="1" x14ac:dyDescent="0.35">
      <c r="A31" s="18">
        <v>26</v>
      </c>
      <c r="B31" s="62" t="str">
        <f>IF(الحضور!$B33="","",الحضور!$B33)</f>
        <v>EMP-026</v>
      </c>
      <c r="C31" s="61" t="str">
        <f>IF($B31="","",الحضور!$C33)</f>
        <v>منال المطيري</v>
      </c>
      <c r="D31" s="64">
        <f>IF($B31="","",الموظفون!$I31)</f>
        <v>17000</v>
      </c>
      <c r="E31" s="48">
        <f>IF($B31="","",الموظفون!$J31)</f>
        <v>566.66999999999996</v>
      </c>
      <c r="F31" s="51">
        <f>IF($B31="","",الإعدادات!$C$25)</f>
        <v>30</v>
      </c>
      <c r="G31" s="51">
        <f>IF($B31="","",الحضور!$G33)</f>
        <v>4</v>
      </c>
      <c r="H31" s="51">
        <f>IF($B31="","",الحضور!$AV33)</f>
        <v>0</v>
      </c>
      <c r="I31" s="77">
        <f>IF($B31="","",ROUND(الحضور!$AT33*0.25+الحضور!$AU33*1,2))</f>
        <v>0</v>
      </c>
      <c r="J31" s="48">
        <f t="shared" si="0"/>
        <v>2266.6799999999998</v>
      </c>
      <c r="K31" s="48">
        <f t="shared" si="1"/>
        <v>0</v>
      </c>
      <c r="L31" s="48">
        <f t="shared" si="2"/>
        <v>0</v>
      </c>
      <c r="M31" s="48">
        <f>IF($B31="","",الجزاءات!$M47)</f>
        <v>1133.3399999999999</v>
      </c>
      <c r="N31" s="46">
        <f>IF($B31="","",الحضور!$K33)</f>
        <v>1.17</v>
      </c>
      <c r="O31" s="48">
        <f>IF($B31="","",ROUND($N31*الموظفون!$K31*الإعدادات!$C$40,2))</f>
        <v>143.44</v>
      </c>
      <c r="P31" s="79">
        <f t="shared" si="3"/>
        <v>3400.02</v>
      </c>
      <c r="Q31" s="79">
        <f t="shared" si="4"/>
        <v>13743.42</v>
      </c>
    </row>
    <row r="32" spans="1:17" ht="16.5" customHeight="1" x14ac:dyDescent="0.35">
      <c r="A32" s="18">
        <v>27</v>
      </c>
      <c r="B32" s="62" t="str">
        <f>IF(الحضور!$B34="","",الحضور!$B34)</f>
        <v>EMP-027</v>
      </c>
      <c r="C32" s="61" t="str">
        <f>IF($B32="","",الحضور!$C34)</f>
        <v>أميرة زكي الحسيني</v>
      </c>
      <c r="D32" s="64">
        <f>IF($B32="","",الموظفون!$I32)</f>
        <v>6700</v>
      </c>
      <c r="E32" s="48">
        <f>IF($B32="","",الموظفون!$J32)</f>
        <v>223.33</v>
      </c>
      <c r="F32" s="51">
        <f>IF($B32="","",الإعدادات!$C$25)</f>
        <v>30</v>
      </c>
      <c r="G32" s="51">
        <f>IF($B32="","",الحضور!$G34)</f>
        <v>0</v>
      </c>
      <c r="H32" s="51">
        <f>IF($B32="","",الحضور!$AV34)</f>
        <v>0</v>
      </c>
      <c r="I32" s="77">
        <f>IF($B32="","",ROUND(الحضور!$AT34*0.25+الحضور!$AU34*1,2))</f>
        <v>0</v>
      </c>
      <c r="J32" s="48">
        <f t="shared" si="0"/>
        <v>0</v>
      </c>
      <c r="K32" s="48">
        <f t="shared" si="1"/>
        <v>0</v>
      </c>
      <c r="L32" s="48">
        <f t="shared" si="2"/>
        <v>0</v>
      </c>
      <c r="M32" s="48">
        <f>IF($B32="","",الجزاءات!$M48)</f>
        <v>0</v>
      </c>
      <c r="N32" s="46">
        <f>IF($B32="","",الحضور!$K34)</f>
        <v>0</v>
      </c>
      <c r="O32" s="48">
        <f>IF($B32="","",ROUND($N32*الموظفون!$K32*الإعدادات!$C$40,2))</f>
        <v>0</v>
      </c>
      <c r="P32" s="79">
        <f t="shared" si="3"/>
        <v>0</v>
      </c>
      <c r="Q32" s="79">
        <f t="shared" si="4"/>
        <v>6700</v>
      </c>
    </row>
    <row r="33" spans="1:17" ht="16.5" customHeight="1" x14ac:dyDescent="0.35">
      <c r="A33" s="18">
        <v>28</v>
      </c>
      <c r="B33" s="62" t="str">
        <f>IF(الحضور!$B35="","",الحضور!$B35)</f>
        <v>EMP-028</v>
      </c>
      <c r="C33" s="61" t="str">
        <f>IF($B33="","",الحضور!$C35)</f>
        <v>دلال البلوي</v>
      </c>
      <c r="D33" s="64">
        <f>IF($B33="","",الموظفون!$I33)</f>
        <v>7300</v>
      </c>
      <c r="E33" s="48">
        <f>IF($B33="","",الموظفون!$J33)</f>
        <v>243.33</v>
      </c>
      <c r="F33" s="51">
        <f>IF($B33="","",الإعدادات!$C$25)</f>
        <v>30</v>
      </c>
      <c r="G33" s="51">
        <f>IF($B33="","",الحضور!$G35)</f>
        <v>0</v>
      </c>
      <c r="H33" s="51">
        <f>IF($B33="","",الحضور!$AV35)</f>
        <v>0</v>
      </c>
      <c r="I33" s="77">
        <f>IF($B33="","",ROUND(الحضور!$AT35*0.25+الحضور!$AU35*1,2))</f>
        <v>0</v>
      </c>
      <c r="J33" s="48">
        <f t="shared" si="0"/>
        <v>0</v>
      </c>
      <c r="K33" s="48">
        <f t="shared" si="1"/>
        <v>0</v>
      </c>
      <c r="L33" s="48">
        <f t="shared" si="2"/>
        <v>0</v>
      </c>
      <c r="M33" s="48">
        <f>IF($B33="","",الجزاءات!$M49)</f>
        <v>1216.6500000000001</v>
      </c>
      <c r="N33" s="46">
        <f>IF($B33="","",الحضور!$K35)</f>
        <v>4.53</v>
      </c>
      <c r="O33" s="48">
        <f>IF($B33="","",ROUND($N33*الموظفون!$K33*الإعدادات!$C$40,2))</f>
        <v>238.5</v>
      </c>
      <c r="P33" s="79">
        <f t="shared" si="3"/>
        <v>1216.6500000000001</v>
      </c>
      <c r="Q33" s="79">
        <f t="shared" si="4"/>
        <v>6321.85</v>
      </c>
    </row>
    <row r="34" spans="1:17" ht="16.5" customHeight="1" x14ac:dyDescent="0.35">
      <c r="A34" s="18">
        <v>29</v>
      </c>
      <c r="B34" s="62" t="str">
        <f>IF(الحضور!$B36="","",الحضور!$B36)</f>
        <v>EMP-029</v>
      </c>
      <c r="C34" s="61" t="str">
        <f>IF($B34="","",الحضور!$C36)</f>
        <v>نادية عبد الحميد</v>
      </c>
      <c r="D34" s="64">
        <f>IF($B34="","",الموظفون!$I34)</f>
        <v>8100</v>
      </c>
      <c r="E34" s="48">
        <f>IF($B34="","",الموظفون!$J34)</f>
        <v>270</v>
      </c>
      <c r="F34" s="51">
        <f>IF($B34="","",الإعدادات!$C$25)</f>
        <v>30</v>
      </c>
      <c r="G34" s="51">
        <f>IF($B34="","",الحضور!$G36)</f>
        <v>1</v>
      </c>
      <c r="H34" s="51">
        <f>IF($B34="","",الحضور!$AV36)</f>
        <v>0</v>
      </c>
      <c r="I34" s="77">
        <f>IF($B34="","",ROUND(الحضور!$AT36*0.25+الحضور!$AU36*1,2))</f>
        <v>0</v>
      </c>
      <c r="J34" s="48">
        <f t="shared" si="0"/>
        <v>270</v>
      </c>
      <c r="K34" s="48">
        <f t="shared" si="1"/>
        <v>0</v>
      </c>
      <c r="L34" s="48">
        <f t="shared" si="2"/>
        <v>0</v>
      </c>
      <c r="M34" s="48">
        <f>IF($B34="","",الجزاءات!$M50)</f>
        <v>135</v>
      </c>
      <c r="N34" s="46">
        <f>IF($B34="","",الحضور!$K36)</f>
        <v>2</v>
      </c>
      <c r="O34" s="48">
        <f>IF($B34="","",ROUND($N34*الموظفون!$K34*الإعدادات!$C$40,2))</f>
        <v>116.82</v>
      </c>
      <c r="P34" s="79">
        <f t="shared" si="3"/>
        <v>405</v>
      </c>
      <c r="Q34" s="79">
        <f t="shared" si="4"/>
        <v>7811.82</v>
      </c>
    </row>
    <row r="35" spans="1:17" ht="16.5" customHeight="1" x14ac:dyDescent="0.35">
      <c r="A35" s="18">
        <v>30</v>
      </c>
      <c r="B35" s="62" t="str">
        <f>IF(الحضور!$B37="","",الحضور!$B37)</f>
        <v>EMP-030</v>
      </c>
      <c r="C35" s="61" t="str">
        <f>IF($B35="","",الحضور!$C37)</f>
        <v>مي الفهد</v>
      </c>
      <c r="D35" s="64">
        <f>IF($B35="","",الموظفون!$I35)</f>
        <v>5400</v>
      </c>
      <c r="E35" s="48">
        <f>IF($B35="","",الموظفون!$J35)</f>
        <v>180</v>
      </c>
      <c r="F35" s="51">
        <f>IF($B35="","",الإعدادات!$C$25)</f>
        <v>30</v>
      </c>
      <c r="G35" s="51">
        <f>IF($B35="","",الحضور!$G37)</f>
        <v>0</v>
      </c>
      <c r="H35" s="51">
        <f>IF($B35="","",الحضور!$AV37)</f>
        <v>0</v>
      </c>
      <c r="I35" s="77">
        <f>IF($B35="","",ROUND(الحضور!$AT37*0.25+الحضور!$AU37*1,2))</f>
        <v>0</v>
      </c>
      <c r="J35" s="48">
        <f t="shared" si="0"/>
        <v>0</v>
      </c>
      <c r="K35" s="48">
        <f t="shared" si="1"/>
        <v>0</v>
      </c>
      <c r="L35" s="48">
        <f t="shared" si="2"/>
        <v>0</v>
      </c>
      <c r="M35" s="48">
        <f>IF($B35="","",الجزاءات!$M51)</f>
        <v>0</v>
      </c>
      <c r="N35" s="46">
        <f>IF($B35="","",الحضور!$K37)</f>
        <v>1.6</v>
      </c>
      <c r="O35" s="48">
        <f>IF($B35="","",ROUND($N35*الموظفون!$K35*الإعدادات!$C$40,2))</f>
        <v>62.3</v>
      </c>
      <c r="P35" s="79">
        <f t="shared" si="3"/>
        <v>0</v>
      </c>
      <c r="Q35" s="79">
        <f t="shared" si="4"/>
        <v>5462.3</v>
      </c>
    </row>
    <row r="36" spans="1:17" ht="16.5" customHeight="1" x14ac:dyDescent="0.35">
      <c r="A36" s="18"/>
      <c r="B36" s="62" t="str">
        <f>IF(الحضور!$B38="","",الحضور!$B38)</f>
        <v/>
      </c>
      <c r="C36" s="61" t="str">
        <f>IF($B36="","",الحضور!$C38)</f>
        <v/>
      </c>
      <c r="D36" s="64" t="str">
        <f>IF($B36="","",الموظفون!$I36)</f>
        <v/>
      </c>
      <c r="E36" s="48" t="str">
        <f>IF($B36="","",الموظفون!$J36)</f>
        <v/>
      </c>
      <c r="F36" s="51" t="str">
        <f>IF($B36="","",الإعدادات!$C$25)</f>
        <v/>
      </c>
      <c r="G36" s="51" t="str">
        <f>IF($B36="","",الحضور!$G38)</f>
        <v/>
      </c>
      <c r="H36" s="51" t="str">
        <f>IF($B36="","",الحضور!$AV38)</f>
        <v/>
      </c>
      <c r="I36" s="77" t="str">
        <f>IF($B36="","",ROUND(الحضور!$AT38*0.25+الحضور!$AU38*1,2))</f>
        <v/>
      </c>
      <c r="J36" s="48" t="str">
        <f t="shared" si="0"/>
        <v/>
      </c>
      <c r="K36" s="48" t="str">
        <f t="shared" si="1"/>
        <v/>
      </c>
      <c r="L36" s="48" t="str">
        <f t="shared" si="2"/>
        <v/>
      </c>
      <c r="M36" s="48" t="str">
        <f>IF($B36="","",الجزاءات!$M52)</f>
        <v/>
      </c>
      <c r="N36" s="46" t="str">
        <f>IF($B36="","",الحضور!$K38)</f>
        <v/>
      </c>
      <c r="O36" s="48" t="str">
        <f>IF($B36="","",ROUND($N36*الموظفون!$K36*الإعدادات!$C$40,2))</f>
        <v/>
      </c>
      <c r="P36" s="79" t="str">
        <f t="shared" si="3"/>
        <v/>
      </c>
      <c r="Q36" s="79" t="str">
        <f t="shared" si="4"/>
        <v/>
      </c>
    </row>
    <row r="37" spans="1:17" ht="16.5" customHeight="1" x14ac:dyDescent="0.35">
      <c r="A37" s="18"/>
      <c r="B37" s="62" t="str">
        <f>IF(الحضور!$B39="","",الحضور!$B39)</f>
        <v/>
      </c>
      <c r="C37" s="61" t="str">
        <f>IF($B37="","",الحضور!$C39)</f>
        <v/>
      </c>
      <c r="D37" s="64" t="str">
        <f>IF($B37="","",الموظفون!$I37)</f>
        <v/>
      </c>
      <c r="E37" s="48" t="str">
        <f>IF($B37="","",الموظفون!$J37)</f>
        <v/>
      </c>
      <c r="F37" s="51" t="str">
        <f>IF($B37="","",الإعدادات!$C$25)</f>
        <v/>
      </c>
      <c r="G37" s="51" t="str">
        <f>IF($B37="","",الحضور!$G39)</f>
        <v/>
      </c>
      <c r="H37" s="51" t="str">
        <f>IF($B37="","",الحضور!$AV39)</f>
        <v/>
      </c>
      <c r="I37" s="77" t="str">
        <f>IF($B37="","",ROUND(الحضور!$AT39*0.25+الحضور!$AU39*1,2))</f>
        <v/>
      </c>
      <c r="J37" s="48" t="str">
        <f t="shared" si="0"/>
        <v/>
      </c>
      <c r="K37" s="48" t="str">
        <f t="shared" si="1"/>
        <v/>
      </c>
      <c r="L37" s="48" t="str">
        <f t="shared" si="2"/>
        <v/>
      </c>
      <c r="M37" s="48" t="str">
        <f>IF($B37="","",الجزاءات!$M53)</f>
        <v/>
      </c>
      <c r="N37" s="46" t="str">
        <f>IF($B37="","",الحضور!$K39)</f>
        <v/>
      </c>
      <c r="O37" s="48" t="str">
        <f>IF($B37="","",ROUND($N37*الموظفون!$K37*الإعدادات!$C$40,2))</f>
        <v/>
      </c>
      <c r="P37" s="79" t="str">
        <f t="shared" si="3"/>
        <v/>
      </c>
      <c r="Q37" s="79" t="str">
        <f t="shared" si="4"/>
        <v/>
      </c>
    </row>
    <row r="38" spans="1:17" ht="16.5" customHeight="1" x14ac:dyDescent="0.35">
      <c r="A38" s="18"/>
      <c r="B38" s="62" t="str">
        <f>IF(الحضور!$B40="","",الحضور!$B40)</f>
        <v/>
      </c>
      <c r="C38" s="61" t="str">
        <f>IF($B38="","",الحضور!$C40)</f>
        <v/>
      </c>
      <c r="D38" s="64" t="str">
        <f>IF($B38="","",الموظفون!$I38)</f>
        <v/>
      </c>
      <c r="E38" s="48" t="str">
        <f>IF($B38="","",الموظفون!$J38)</f>
        <v/>
      </c>
      <c r="F38" s="51" t="str">
        <f>IF($B38="","",الإعدادات!$C$25)</f>
        <v/>
      </c>
      <c r="G38" s="51" t="str">
        <f>IF($B38="","",الحضور!$G40)</f>
        <v/>
      </c>
      <c r="H38" s="51" t="str">
        <f>IF($B38="","",الحضور!$AV40)</f>
        <v/>
      </c>
      <c r="I38" s="77" t="str">
        <f>IF($B38="","",ROUND(الحضور!$AT40*0.25+الحضور!$AU40*1,2))</f>
        <v/>
      </c>
      <c r="J38" s="48" t="str">
        <f t="shared" si="0"/>
        <v/>
      </c>
      <c r="K38" s="48" t="str">
        <f t="shared" si="1"/>
        <v/>
      </c>
      <c r="L38" s="48" t="str">
        <f t="shared" si="2"/>
        <v/>
      </c>
      <c r="M38" s="48" t="str">
        <f>IF($B38="","",الجزاءات!$M54)</f>
        <v/>
      </c>
      <c r="N38" s="46" t="str">
        <f>IF($B38="","",الحضور!$K40)</f>
        <v/>
      </c>
      <c r="O38" s="48" t="str">
        <f>IF($B38="","",ROUND($N38*الموظفون!$K38*الإعدادات!$C$40,2))</f>
        <v/>
      </c>
      <c r="P38" s="79" t="str">
        <f t="shared" si="3"/>
        <v/>
      </c>
      <c r="Q38" s="79" t="str">
        <f t="shared" si="4"/>
        <v/>
      </c>
    </row>
    <row r="39" spans="1:17" ht="16.5" customHeight="1" x14ac:dyDescent="0.35">
      <c r="A39" s="18"/>
      <c r="B39" s="62" t="str">
        <f>IF(الحضور!$B41="","",الحضور!$B41)</f>
        <v/>
      </c>
      <c r="C39" s="61" t="str">
        <f>IF($B39="","",الحضور!$C41)</f>
        <v/>
      </c>
      <c r="D39" s="64" t="str">
        <f>IF($B39="","",الموظفون!$I39)</f>
        <v/>
      </c>
      <c r="E39" s="48" t="str">
        <f>IF($B39="","",الموظفون!$J39)</f>
        <v/>
      </c>
      <c r="F39" s="51" t="str">
        <f>IF($B39="","",الإعدادات!$C$25)</f>
        <v/>
      </c>
      <c r="G39" s="51" t="str">
        <f>IF($B39="","",الحضور!$G41)</f>
        <v/>
      </c>
      <c r="H39" s="51" t="str">
        <f>IF($B39="","",الحضور!$AV41)</f>
        <v/>
      </c>
      <c r="I39" s="77" t="str">
        <f>IF($B39="","",ROUND(الحضور!$AT41*0.25+الحضور!$AU41*1,2))</f>
        <v/>
      </c>
      <c r="J39" s="48" t="str">
        <f t="shared" si="0"/>
        <v/>
      </c>
      <c r="K39" s="48" t="str">
        <f t="shared" si="1"/>
        <v/>
      </c>
      <c r="L39" s="48" t="str">
        <f t="shared" si="2"/>
        <v/>
      </c>
      <c r="M39" s="48" t="str">
        <f>IF($B39="","",الجزاءات!$M55)</f>
        <v/>
      </c>
      <c r="N39" s="46" t="str">
        <f>IF($B39="","",الحضور!$K41)</f>
        <v/>
      </c>
      <c r="O39" s="48" t="str">
        <f>IF($B39="","",ROUND($N39*الموظفون!$K39*الإعدادات!$C$40,2))</f>
        <v/>
      </c>
      <c r="P39" s="79" t="str">
        <f t="shared" si="3"/>
        <v/>
      </c>
      <c r="Q39" s="79" t="str">
        <f t="shared" si="4"/>
        <v/>
      </c>
    </row>
    <row r="40" spans="1:17" ht="16.5" customHeight="1" x14ac:dyDescent="0.35">
      <c r="A40" s="18"/>
      <c r="B40" s="62" t="str">
        <f>IF(الحضور!$B42="","",الحضور!$B42)</f>
        <v/>
      </c>
      <c r="C40" s="61" t="str">
        <f>IF($B40="","",الحضور!$C42)</f>
        <v/>
      </c>
      <c r="D40" s="64" t="str">
        <f>IF($B40="","",الموظفون!$I40)</f>
        <v/>
      </c>
      <c r="E40" s="48" t="str">
        <f>IF($B40="","",الموظفون!$J40)</f>
        <v/>
      </c>
      <c r="F40" s="51" t="str">
        <f>IF($B40="","",الإعدادات!$C$25)</f>
        <v/>
      </c>
      <c r="G40" s="51" t="str">
        <f>IF($B40="","",الحضور!$G42)</f>
        <v/>
      </c>
      <c r="H40" s="51" t="str">
        <f>IF($B40="","",الحضور!$AV42)</f>
        <v/>
      </c>
      <c r="I40" s="77" t="str">
        <f>IF($B40="","",ROUND(الحضور!$AT42*0.25+الحضور!$AU42*1,2))</f>
        <v/>
      </c>
      <c r="J40" s="48" t="str">
        <f t="shared" si="0"/>
        <v/>
      </c>
      <c r="K40" s="48" t="str">
        <f t="shared" si="1"/>
        <v/>
      </c>
      <c r="L40" s="48" t="str">
        <f t="shared" si="2"/>
        <v/>
      </c>
      <c r="M40" s="48" t="str">
        <f>IF($B40="","",الجزاءات!$M56)</f>
        <v/>
      </c>
      <c r="N40" s="46" t="str">
        <f>IF($B40="","",الحضور!$K42)</f>
        <v/>
      </c>
      <c r="O40" s="48" t="str">
        <f>IF($B40="","",ROUND($N40*الموظفون!$K40*الإعدادات!$C$40,2))</f>
        <v/>
      </c>
      <c r="P40" s="79" t="str">
        <f t="shared" si="3"/>
        <v/>
      </c>
      <c r="Q40" s="79" t="str">
        <f t="shared" si="4"/>
        <v/>
      </c>
    </row>
    <row r="41" spans="1:17" ht="16.5" customHeight="1" x14ac:dyDescent="0.35">
      <c r="A41" s="18"/>
      <c r="B41" s="62" t="str">
        <f>IF(الحضور!$B43="","",الحضور!$B43)</f>
        <v/>
      </c>
      <c r="C41" s="61" t="str">
        <f>IF($B41="","",الحضور!$C43)</f>
        <v/>
      </c>
      <c r="D41" s="64" t="str">
        <f>IF($B41="","",الموظفون!$I41)</f>
        <v/>
      </c>
      <c r="E41" s="48" t="str">
        <f>IF($B41="","",الموظفون!$J41)</f>
        <v/>
      </c>
      <c r="F41" s="51" t="str">
        <f>IF($B41="","",الإعدادات!$C$25)</f>
        <v/>
      </c>
      <c r="G41" s="51" t="str">
        <f>IF($B41="","",الحضور!$G43)</f>
        <v/>
      </c>
      <c r="H41" s="51" t="str">
        <f>IF($B41="","",الحضور!$AV43)</f>
        <v/>
      </c>
      <c r="I41" s="77" t="str">
        <f>IF($B41="","",ROUND(الحضور!$AT43*0.25+الحضور!$AU43*1,2))</f>
        <v/>
      </c>
      <c r="J41" s="48" t="str">
        <f t="shared" si="0"/>
        <v/>
      </c>
      <c r="K41" s="48" t="str">
        <f t="shared" si="1"/>
        <v/>
      </c>
      <c r="L41" s="48" t="str">
        <f t="shared" si="2"/>
        <v/>
      </c>
      <c r="M41" s="48" t="str">
        <f>IF($B41="","",الجزاءات!$M57)</f>
        <v/>
      </c>
      <c r="N41" s="46" t="str">
        <f>IF($B41="","",الحضور!$K43)</f>
        <v/>
      </c>
      <c r="O41" s="48" t="str">
        <f>IF($B41="","",ROUND($N41*الموظفون!$K41*الإعدادات!$C$40,2))</f>
        <v/>
      </c>
      <c r="P41" s="79" t="str">
        <f t="shared" si="3"/>
        <v/>
      </c>
      <c r="Q41" s="79" t="str">
        <f t="shared" si="4"/>
        <v/>
      </c>
    </row>
    <row r="42" spans="1:17" ht="16.5" customHeight="1" x14ac:dyDescent="0.35">
      <c r="A42" s="18"/>
      <c r="B42" s="62" t="str">
        <f>IF(الحضور!$B44="","",الحضور!$B44)</f>
        <v/>
      </c>
      <c r="C42" s="61" t="str">
        <f>IF($B42="","",الحضور!$C44)</f>
        <v/>
      </c>
      <c r="D42" s="64" t="str">
        <f>IF($B42="","",الموظفون!$I42)</f>
        <v/>
      </c>
      <c r="E42" s="48" t="str">
        <f>IF($B42="","",الموظفون!$J42)</f>
        <v/>
      </c>
      <c r="F42" s="51" t="str">
        <f>IF($B42="","",الإعدادات!$C$25)</f>
        <v/>
      </c>
      <c r="G42" s="51" t="str">
        <f>IF($B42="","",الحضور!$G44)</f>
        <v/>
      </c>
      <c r="H42" s="51" t="str">
        <f>IF($B42="","",الحضور!$AV44)</f>
        <v/>
      </c>
      <c r="I42" s="77" t="str">
        <f>IF($B42="","",ROUND(الحضور!$AT44*0.25+الحضور!$AU44*1,2))</f>
        <v/>
      </c>
      <c r="J42" s="48" t="str">
        <f t="shared" si="0"/>
        <v/>
      </c>
      <c r="K42" s="48" t="str">
        <f t="shared" si="1"/>
        <v/>
      </c>
      <c r="L42" s="48" t="str">
        <f t="shared" si="2"/>
        <v/>
      </c>
      <c r="M42" s="48" t="str">
        <f>IF($B42="","",الجزاءات!$M58)</f>
        <v/>
      </c>
      <c r="N42" s="46" t="str">
        <f>IF($B42="","",الحضور!$K44)</f>
        <v/>
      </c>
      <c r="O42" s="48" t="str">
        <f>IF($B42="","",ROUND($N42*الموظفون!$K42*الإعدادات!$C$40,2))</f>
        <v/>
      </c>
      <c r="P42" s="79" t="str">
        <f t="shared" si="3"/>
        <v/>
      </c>
      <c r="Q42" s="79" t="str">
        <f t="shared" si="4"/>
        <v/>
      </c>
    </row>
    <row r="43" spans="1:17" ht="16.5" customHeight="1" x14ac:dyDescent="0.35">
      <c r="A43" s="18"/>
      <c r="B43" s="62" t="str">
        <f>IF(الحضور!$B45="","",الحضور!$B45)</f>
        <v/>
      </c>
      <c r="C43" s="61" t="str">
        <f>IF($B43="","",الحضور!$C45)</f>
        <v/>
      </c>
      <c r="D43" s="64" t="str">
        <f>IF($B43="","",الموظفون!$I43)</f>
        <v/>
      </c>
      <c r="E43" s="48" t="str">
        <f>IF($B43="","",الموظفون!$J43)</f>
        <v/>
      </c>
      <c r="F43" s="51" t="str">
        <f>IF($B43="","",الإعدادات!$C$25)</f>
        <v/>
      </c>
      <c r="G43" s="51" t="str">
        <f>IF($B43="","",الحضور!$G45)</f>
        <v/>
      </c>
      <c r="H43" s="51" t="str">
        <f>IF($B43="","",الحضور!$AV45)</f>
        <v/>
      </c>
      <c r="I43" s="77" t="str">
        <f>IF($B43="","",ROUND(الحضور!$AT45*0.25+الحضور!$AU45*1,2))</f>
        <v/>
      </c>
      <c r="J43" s="48" t="str">
        <f t="shared" si="0"/>
        <v/>
      </c>
      <c r="K43" s="48" t="str">
        <f t="shared" si="1"/>
        <v/>
      </c>
      <c r="L43" s="48" t="str">
        <f t="shared" si="2"/>
        <v/>
      </c>
      <c r="M43" s="48" t="str">
        <f>IF($B43="","",الجزاءات!$M59)</f>
        <v/>
      </c>
      <c r="N43" s="46" t="str">
        <f>IF($B43="","",الحضور!$K45)</f>
        <v/>
      </c>
      <c r="O43" s="48" t="str">
        <f>IF($B43="","",ROUND($N43*الموظفون!$K43*الإعدادات!$C$40,2))</f>
        <v/>
      </c>
      <c r="P43" s="79" t="str">
        <f t="shared" si="3"/>
        <v/>
      </c>
      <c r="Q43" s="79" t="str">
        <f t="shared" si="4"/>
        <v/>
      </c>
    </row>
    <row r="44" spans="1:17" ht="16.5" customHeight="1" x14ac:dyDescent="0.35">
      <c r="A44" s="18"/>
      <c r="B44" s="62" t="str">
        <f>IF(الحضور!$B46="","",الحضور!$B46)</f>
        <v/>
      </c>
      <c r="C44" s="61" t="str">
        <f>IF($B44="","",الحضور!$C46)</f>
        <v/>
      </c>
      <c r="D44" s="64" t="str">
        <f>IF($B44="","",الموظفون!$I44)</f>
        <v/>
      </c>
      <c r="E44" s="48" t="str">
        <f>IF($B44="","",الموظفون!$J44)</f>
        <v/>
      </c>
      <c r="F44" s="51" t="str">
        <f>IF($B44="","",الإعدادات!$C$25)</f>
        <v/>
      </c>
      <c r="G44" s="51" t="str">
        <f>IF($B44="","",الحضور!$G46)</f>
        <v/>
      </c>
      <c r="H44" s="51" t="str">
        <f>IF($B44="","",الحضور!$AV46)</f>
        <v/>
      </c>
      <c r="I44" s="77" t="str">
        <f>IF($B44="","",ROUND(الحضور!$AT46*0.25+الحضور!$AU46*1,2))</f>
        <v/>
      </c>
      <c r="J44" s="48" t="str">
        <f t="shared" si="0"/>
        <v/>
      </c>
      <c r="K44" s="48" t="str">
        <f t="shared" si="1"/>
        <v/>
      </c>
      <c r="L44" s="48" t="str">
        <f t="shared" si="2"/>
        <v/>
      </c>
      <c r="M44" s="48" t="str">
        <f>IF($B44="","",الجزاءات!$M60)</f>
        <v/>
      </c>
      <c r="N44" s="46" t="str">
        <f>IF($B44="","",الحضور!$K46)</f>
        <v/>
      </c>
      <c r="O44" s="48" t="str">
        <f>IF($B44="","",ROUND($N44*الموظفون!$K44*الإعدادات!$C$40,2))</f>
        <v/>
      </c>
      <c r="P44" s="79" t="str">
        <f t="shared" si="3"/>
        <v/>
      </c>
      <c r="Q44" s="79" t="str">
        <f t="shared" si="4"/>
        <v/>
      </c>
    </row>
    <row r="45" spans="1:17" ht="16.5" customHeight="1" x14ac:dyDescent="0.35">
      <c r="A45" s="18"/>
      <c r="B45" s="62" t="str">
        <f>IF(الحضور!$B47="","",الحضور!$B47)</f>
        <v/>
      </c>
      <c r="C45" s="61" t="str">
        <f>IF($B45="","",الحضور!$C47)</f>
        <v/>
      </c>
      <c r="D45" s="64" t="str">
        <f>IF($B45="","",الموظفون!$I45)</f>
        <v/>
      </c>
      <c r="E45" s="48" t="str">
        <f>IF($B45="","",الموظفون!$J45)</f>
        <v/>
      </c>
      <c r="F45" s="51" t="str">
        <f>IF($B45="","",الإعدادات!$C$25)</f>
        <v/>
      </c>
      <c r="G45" s="51" t="str">
        <f>IF($B45="","",الحضور!$G47)</f>
        <v/>
      </c>
      <c r="H45" s="51" t="str">
        <f>IF($B45="","",الحضور!$AV47)</f>
        <v/>
      </c>
      <c r="I45" s="77" t="str">
        <f>IF($B45="","",ROUND(الحضور!$AT47*0.25+الحضور!$AU47*1,2))</f>
        <v/>
      </c>
      <c r="J45" s="48" t="str">
        <f t="shared" si="0"/>
        <v/>
      </c>
      <c r="K45" s="48" t="str">
        <f t="shared" si="1"/>
        <v/>
      </c>
      <c r="L45" s="48" t="str">
        <f t="shared" si="2"/>
        <v/>
      </c>
      <c r="M45" s="48" t="str">
        <f>IF($B45="","",الجزاءات!$M61)</f>
        <v/>
      </c>
      <c r="N45" s="46" t="str">
        <f>IF($B45="","",الحضور!$K47)</f>
        <v/>
      </c>
      <c r="O45" s="48" t="str">
        <f>IF($B45="","",ROUND($N45*الموظفون!$K45*الإعدادات!$C$40,2))</f>
        <v/>
      </c>
      <c r="P45" s="79" t="str">
        <f t="shared" si="3"/>
        <v/>
      </c>
      <c r="Q45" s="79" t="str">
        <f t="shared" si="4"/>
        <v/>
      </c>
    </row>
    <row r="46" spans="1:17" x14ac:dyDescent="0.35">
      <c r="A46" s="2" t="s">
        <v>377</v>
      </c>
      <c r="B46" s="2"/>
      <c r="C46" s="2"/>
      <c r="D46" s="81">
        <f>SUM(D6:D45)</f>
        <v>264200</v>
      </c>
      <c r="J46" s="81">
        <f t="shared" ref="J46:Q46" si="5">SUM(J6:J45)</f>
        <v>14290.04</v>
      </c>
      <c r="K46" s="81">
        <f t="shared" si="5"/>
        <v>0</v>
      </c>
      <c r="L46" s="81">
        <f t="shared" si="5"/>
        <v>0</v>
      </c>
      <c r="M46" s="81">
        <f t="shared" si="5"/>
        <v>10543.36</v>
      </c>
      <c r="N46" s="67">
        <f t="shared" si="5"/>
        <v>34.210000000000008</v>
      </c>
      <c r="O46" s="81">
        <f t="shared" si="5"/>
        <v>2275.8100000000009</v>
      </c>
      <c r="P46" s="81">
        <f t="shared" si="5"/>
        <v>24833.400000000005</v>
      </c>
      <c r="Q46" s="81">
        <f t="shared" si="5"/>
        <v>241642.41</v>
      </c>
    </row>
    <row r="48" spans="1:17" ht="25.5" customHeight="1" x14ac:dyDescent="0.35">
      <c r="A48" s="9" t="s">
        <v>439</v>
      </c>
      <c r="B48" s="9"/>
      <c r="C48" s="9"/>
      <c r="D48" s="9"/>
      <c r="E48" s="9"/>
      <c r="F48" s="9"/>
      <c r="G48" s="9"/>
      <c r="H48" s="9"/>
      <c r="I48" s="9"/>
      <c r="J48" s="9"/>
      <c r="K48" s="9"/>
      <c r="L48" s="9"/>
      <c r="M48" s="9"/>
      <c r="N48" s="9"/>
      <c r="O48" s="9"/>
      <c r="P48" s="9"/>
      <c r="Q48" s="9"/>
    </row>
    <row r="49" spans="1:17" ht="25.5" customHeight="1" x14ac:dyDescent="0.35">
      <c r="A49" s="9" t="s">
        <v>440</v>
      </c>
      <c r="B49" s="9"/>
      <c r="C49" s="9"/>
      <c r="D49" s="9"/>
      <c r="E49" s="9"/>
      <c r="F49" s="9"/>
      <c r="G49" s="9"/>
      <c r="H49" s="9"/>
      <c r="I49" s="9"/>
      <c r="J49" s="9"/>
      <c r="K49" s="9"/>
      <c r="L49" s="9"/>
      <c r="M49" s="9"/>
      <c r="N49" s="9"/>
      <c r="O49" s="9"/>
      <c r="P49" s="9"/>
      <c r="Q49" s="9"/>
    </row>
    <row r="50" spans="1:17" ht="25.5" customHeight="1" x14ac:dyDescent="0.35">
      <c r="A50" s="8" t="s">
        <v>60</v>
      </c>
      <c r="B50" s="8"/>
      <c r="C50" s="8"/>
      <c r="D50" s="8"/>
      <c r="E50" s="8"/>
      <c r="F50" s="8"/>
      <c r="G50" s="8"/>
      <c r="H50" s="8"/>
      <c r="I50" s="8"/>
      <c r="J50" s="8"/>
      <c r="K50" s="8"/>
      <c r="L50" s="8"/>
      <c r="M50" s="8"/>
      <c r="N50" s="8"/>
      <c r="O50" s="8"/>
      <c r="P50" s="8"/>
      <c r="Q50" s="8"/>
    </row>
  </sheetData>
  <sheetProtection algorithmName="SHA-512" hashValue="ZAUI8Vc+60Oi7o0/HR5oyEsJJkdWmriLA9bOqgOkLXGej7RdZMKNRidFs1ACuVVCYU64p/UIzgaAzgG5mXEYuA==" saltValue="cdskJ64axhg7ymDEupn/rg==" spinCount="100000" sheet="1" formatCells="0" formatColumns="0" formatRows="0" sort="0" autoFilter="0"/>
  <mergeCells count="6">
    <mergeCell ref="A50:Q50"/>
    <mergeCell ref="A1:Q1"/>
    <mergeCell ref="A2:Q2"/>
    <mergeCell ref="A46:C46"/>
    <mergeCell ref="A48:Q48"/>
    <mergeCell ref="A49:Q49"/>
  </mergeCells>
  <conditionalFormatting sqref="P6:P45">
    <cfRule type="cellIs" dxfId="0" priority="2" operator="greaterThan">
      <formula>0</formula>
    </cfRule>
  </conditionalFormatting>
  <conditionalFormatting sqref="Q6:Q45">
    <cfRule type="dataBar" priority="3">
      <dataBar>
        <cfvo type="min"/>
        <cfvo type="max"/>
        <color rgb="FF2EA67A"/>
      </dataBar>
      <extLst>
        <ext xmlns:x14="http://schemas.microsoft.com/office/spreadsheetml/2009/9/main" uri="{B025F937-C7B1-47D3-B67F-A62EFF666E3E}">
          <x14:id>{ADA5CEC5-F44E-467C-BF52-FAF23B836E39}</x14:id>
        </ext>
      </extLst>
    </cfRule>
  </conditionalFormatting>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78C0D931-6437-407d-A8EE-F0AAD7539E65}">
      <x14:conditionalFormattings>
        <x14:conditionalFormatting xmlns:xm="http://schemas.microsoft.com/office/excel/2006/main">
          <x14:cfRule type="dataBar" id="{ADA5CEC5-F44E-467C-BF52-FAF23B836E39}">
            <x14:dataBar axisPosition="none">
              <x14:cfvo type="min"/>
              <x14:cfvo type="max"/>
              <x14:negativeFillColor rgb="FF2EA67A"/>
            </x14:dataBar>
          </x14:cfRule>
          <xm:sqref>Q6:Q45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25"/>
  <sheetViews>
    <sheetView showGridLines="0" rightToLeft="1" zoomScale="120" zoomScaleNormal="120" workbookViewId="0">
      <selection activeCell="P3" sqref="P3"/>
    </sheetView>
  </sheetViews>
  <sheetFormatPr defaultColWidth="8.6328125" defaultRowHeight="14.5" x14ac:dyDescent="0.35"/>
  <cols>
    <col min="1" max="1" width="3" customWidth="1"/>
    <col min="2" max="2" width="26" customWidth="1"/>
    <col min="3" max="8" width="16" customWidth="1"/>
    <col min="9" max="9" width="3" customWidth="1"/>
  </cols>
  <sheetData>
    <row r="1" spans="1:9" ht="30" customHeight="1" x14ac:dyDescent="0.35">
      <c r="A1" s="14" t="s">
        <v>441</v>
      </c>
      <c r="B1" s="14"/>
      <c r="C1" s="14"/>
      <c r="D1" s="14"/>
      <c r="E1" s="14"/>
      <c r="F1" s="14"/>
      <c r="G1" s="14"/>
      <c r="H1" s="14"/>
      <c r="I1" s="14"/>
    </row>
    <row r="2" spans="1:9" ht="18" customHeight="1" x14ac:dyDescent="0.35">
      <c r="A2" s="13" t="s">
        <v>442</v>
      </c>
      <c r="B2" s="13"/>
      <c r="C2" s="13"/>
      <c r="D2" s="13"/>
      <c r="E2" s="13"/>
      <c r="F2" s="13"/>
      <c r="G2" s="13"/>
      <c r="H2" s="13"/>
      <c r="I2" s="13"/>
    </row>
    <row r="4" spans="1:9" ht="21.75" customHeight="1" x14ac:dyDescent="0.35">
      <c r="B4" s="12" t="s">
        <v>443</v>
      </c>
      <c r="C4" s="12"/>
      <c r="D4" s="12"/>
      <c r="E4" s="12"/>
      <c r="F4" s="12"/>
      <c r="G4" s="12"/>
    </row>
    <row r="5" spans="1:9" ht="27.75" customHeight="1" x14ac:dyDescent="0.35">
      <c r="B5" s="5" t="s">
        <v>444</v>
      </c>
      <c r="C5" s="5"/>
      <c r="D5" s="1" t="s">
        <v>320</v>
      </c>
      <c r="E5" s="1"/>
      <c r="F5" s="109" t="s">
        <v>445</v>
      </c>
      <c r="G5" s="109"/>
    </row>
    <row r="6" spans="1:9" ht="31.5" customHeight="1" x14ac:dyDescent="0.35">
      <c r="B6" s="110">
        <f>COUNTA(الحضور!$B$8:$B$47)</f>
        <v>30</v>
      </c>
      <c r="C6" s="110"/>
      <c r="D6" s="111">
        <f>IFERROR(AVERAGE(الحضور!$I$8:$I$47),0)</f>
        <v>0.8734848484848482</v>
      </c>
      <c r="E6" s="111"/>
      <c r="F6" s="110">
        <f>SUM(الحضور!$G$8:$G$47)</f>
        <v>38</v>
      </c>
      <c r="G6" s="110"/>
    </row>
    <row r="8" spans="1:9" ht="27.75" customHeight="1" x14ac:dyDescent="0.35">
      <c r="B8" s="112" t="s">
        <v>338</v>
      </c>
      <c r="C8" s="112"/>
      <c r="D8" s="5" t="s">
        <v>446</v>
      </c>
      <c r="E8" s="5"/>
      <c r="F8" s="109" t="s">
        <v>447</v>
      </c>
      <c r="G8" s="109"/>
    </row>
    <row r="9" spans="1:9" ht="31.5" customHeight="1" x14ac:dyDescent="0.35">
      <c r="B9" s="113">
        <f>SUM(الحضور!$J$8:$J$47)</f>
        <v>3462</v>
      </c>
      <c r="C9" s="113"/>
      <c r="D9" s="114">
        <f>SUM(الحضور!$K$8:$K$47)</f>
        <v>34.210000000000008</v>
      </c>
      <c r="E9" s="114"/>
      <c r="F9" s="113">
        <f>SUM(الجزاءات!$M$22:$M$61)</f>
        <v>10543.36</v>
      </c>
      <c r="G9" s="113"/>
    </row>
    <row r="11" spans="1:9" ht="27.75" customHeight="1" x14ac:dyDescent="0.35">
      <c r="B11" s="1" t="s">
        <v>448</v>
      </c>
      <c r="C11" s="1"/>
      <c r="D11" s="112" t="s">
        <v>421</v>
      </c>
      <c r="E11" s="112"/>
      <c r="F11" s="109" t="s">
        <v>449</v>
      </c>
      <c r="G11" s="109"/>
    </row>
    <row r="12" spans="1:9" ht="31.5" customHeight="1" x14ac:dyDescent="0.35">
      <c r="B12" s="110">
        <f>COUNTIF(الحضور!$I$8:$I$47,1)</f>
        <v>8</v>
      </c>
      <c r="C12" s="110"/>
      <c r="D12" s="110">
        <f>COUNTIF(الحضور!$I$8:$I$47,"&lt;0.9")-COUNTIF(الحضور!$I$8:$I$47,"")</f>
        <v>4</v>
      </c>
      <c r="E12" s="110"/>
      <c r="F12" s="110">
        <f>COUNTIF(التنبيهات!$J$7:$J$46,"إنذار*")+COUNTIF(التنبيهات!$J$7:$J$46,"تجاوز*")</f>
        <v>2</v>
      </c>
      <c r="G12" s="110"/>
    </row>
    <row r="15" spans="1:9" ht="21.75" customHeight="1" x14ac:dyDescent="0.35">
      <c r="B15" s="12" t="s">
        <v>450</v>
      </c>
      <c r="C15" s="12"/>
      <c r="D15" s="12"/>
      <c r="E15" s="12"/>
      <c r="F15" s="12"/>
      <c r="G15" s="12"/>
    </row>
    <row r="16" spans="1:9" ht="30" customHeight="1" x14ac:dyDescent="0.35">
      <c r="B16" s="15" t="s">
        <v>203</v>
      </c>
      <c r="C16" s="15" t="s">
        <v>444</v>
      </c>
      <c r="D16" s="15" t="s">
        <v>320</v>
      </c>
      <c r="E16" s="15" t="s">
        <v>451</v>
      </c>
      <c r="F16" s="15" t="s">
        <v>326</v>
      </c>
      <c r="G16" s="15" t="s">
        <v>327</v>
      </c>
    </row>
    <row r="17" spans="1:9" ht="18.75" customHeight="1" x14ac:dyDescent="0.35">
      <c r="B17" s="16" t="s">
        <v>217</v>
      </c>
      <c r="C17" s="51">
        <f>COUNTIF(الحضور!$D$8:$D$47,$B17)</f>
        <v>4</v>
      </c>
      <c r="D17" s="88">
        <f>IFERROR(AVERAGEIFS(الحضور!$I$8:$I$47,الحضور!$D$8:$D$47,$B17),"")</f>
        <v>0.94318181818181812</v>
      </c>
      <c r="E17" s="51">
        <f>SUMIFS(الحضور!$G$8:$G$47,الحضور!$D$8:$D$47,$B17)</f>
        <v>3</v>
      </c>
      <c r="F17" s="64">
        <f>SUMIFS(الحضور!$J$8:$J$47,الحضور!$D$8:$D$47,$B17)</f>
        <v>141</v>
      </c>
      <c r="G17" s="46">
        <f>SUMIFS(الحضور!$K$8:$K$47,الحضور!$D$8:$D$47,$B17)</f>
        <v>4.5999999999999996</v>
      </c>
    </row>
    <row r="18" spans="1:9" ht="18.75" customHeight="1" x14ac:dyDescent="0.35">
      <c r="B18" s="19" t="s">
        <v>230</v>
      </c>
      <c r="C18" s="89">
        <f>COUNTIF(الحضور!$D$8:$D$47,$B18)</f>
        <v>4</v>
      </c>
      <c r="D18" s="90">
        <f>IFERROR(AVERAGEIFS(الحضور!$I$8:$I$47,الحضور!$D$8:$D$47,$B18),"")</f>
        <v>0.90909090909090906</v>
      </c>
      <c r="E18" s="89">
        <f>SUMIFS(الحضور!$G$8:$G$47,الحضور!$D$8:$D$47,$B18)</f>
        <v>2</v>
      </c>
      <c r="F18" s="91">
        <f>SUMIFS(الحضور!$J$8:$J$47,الحضور!$D$8:$D$47,$B18)</f>
        <v>624</v>
      </c>
      <c r="G18" s="92">
        <f>SUMIFS(الحضور!$K$8:$K$47,الحضور!$D$8:$D$47,$B18)</f>
        <v>2.6100000000000003</v>
      </c>
    </row>
    <row r="19" spans="1:9" ht="18.75" customHeight="1" x14ac:dyDescent="0.35">
      <c r="B19" s="16" t="s">
        <v>240</v>
      </c>
      <c r="C19" s="51">
        <f>COUNTIF(الحضور!$D$8:$D$47,$B19)</f>
        <v>5</v>
      </c>
      <c r="D19" s="88">
        <f>IFERROR(AVERAGEIFS(الحضور!$I$8:$I$47,الحضور!$D$8:$D$47,$B19),"")</f>
        <v>0.84090909090909105</v>
      </c>
      <c r="E19" s="51">
        <f>SUMIFS(الحضور!$G$8:$G$47,الحضور!$D$8:$D$47,$B19)</f>
        <v>9</v>
      </c>
      <c r="F19" s="64">
        <f>SUMIFS(الحضور!$J$8:$J$47,الحضور!$D$8:$D$47,$B19)</f>
        <v>579</v>
      </c>
      <c r="G19" s="46">
        <f>SUMIFS(الحضور!$K$8:$K$47,الحضور!$D$8:$D$47,$B19)</f>
        <v>2.92</v>
      </c>
    </row>
    <row r="20" spans="1:9" ht="18.75" customHeight="1" x14ac:dyDescent="0.35">
      <c r="B20" s="19" t="s">
        <v>251</v>
      </c>
      <c r="C20" s="89">
        <f>COUNTIF(الحضور!$D$8:$D$47,$B20)</f>
        <v>3</v>
      </c>
      <c r="D20" s="90">
        <f>IFERROR(AVERAGEIFS(الحضور!$I$8:$I$47,الحضور!$D$8:$D$47,$B20),"")</f>
        <v>0.83333333333333337</v>
      </c>
      <c r="E20" s="89">
        <f>SUMIFS(الحضور!$G$8:$G$47,الحضور!$D$8:$D$47,$B20)</f>
        <v>0</v>
      </c>
      <c r="F20" s="91">
        <f>SUMIFS(الحضور!$J$8:$J$47,الحضور!$D$8:$D$47,$B20)</f>
        <v>504</v>
      </c>
      <c r="G20" s="92">
        <f>SUMIFS(الحضور!$K$8:$K$47,الحضور!$D$8:$D$47,$B20)</f>
        <v>10.190000000000001</v>
      </c>
    </row>
    <row r="21" spans="1:9" ht="18.75" customHeight="1" x14ac:dyDescent="0.35">
      <c r="B21" s="16" t="s">
        <v>258</v>
      </c>
      <c r="C21" s="51">
        <f>COUNTIF(الحضور!$D$8:$D$47,$B21)</f>
        <v>4</v>
      </c>
      <c r="D21" s="88">
        <f>IFERROR(AVERAGEIFS(الحضور!$I$8:$I$47,الحضور!$D$8:$D$47,$B21),"")</f>
        <v>0.85795454545454553</v>
      </c>
      <c r="E21" s="51">
        <f>SUMIFS(الحضور!$G$8:$G$47,الحضور!$D$8:$D$47,$B21)</f>
        <v>6</v>
      </c>
      <c r="F21" s="64">
        <f>SUMIFS(الحضور!$J$8:$J$47,الحضور!$D$8:$D$47,$B21)</f>
        <v>344</v>
      </c>
      <c r="G21" s="46">
        <f>SUMIFS(الحضور!$K$8:$K$47,الحضور!$D$8:$D$47,$B21)</f>
        <v>1.67</v>
      </c>
    </row>
    <row r="22" spans="1:9" ht="18.75" customHeight="1" x14ac:dyDescent="0.35">
      <c r="B22" s="19" t="s">
        <v>268</v>
      </c>
      <c r="C22" s="89">
        <f>COUNTIF(الحضور!$D$8:$D$47,$B22)</f>
        <v>4</v>
      </c>
      <c r="D22" s="90">
        <f>IFERROR(AVERAGEIFS(الحضور!$I$8:$I$47,الحضور!$D$8:$D$47,$B22),"")</f>
        <v>0.80681818181818177</v>
      </c>
      <c r="E22" s="89">
        <f>SUMIFS(الحضور!$G$8:$G$47,الحضور!$D$8:$D$47,$B22)</f>
        <v>13</v>
      </c>
      <c r="F22" s="91">
        <f>SUMIFS(الحضور!$J$8:$J$47,الحضور!$D$8:$D$47,$B22)</f>
        <v>226</v>
      </c>
      <c r="G22" s="92">
        <f>SUMIFS(الحضور!$K$8:$K$47,الحضور!$D$8:$D$47,$B22)</f>
        <v>1.92</v>
      </c>
    </row>
    <row r="23" spans="1:9" ht="18.75" customHeight="1" x14ac:dyDescent="0.35">
      <c r="B23" s="16" t="s">
        <v>277</v>
      </c>
      <c r="C23" s="51">
        <f>COUNTIF(الحضور!$D$8:$D$47,$B23)</f>
        <v>6</v>
      </c>
      <c r="D23" s="88">
        <f>IFERROR(AVERAGEIFS(الحضور!$I$8:$I$47,الحضور!$D$8:$D$47,$B23),"")</f>
        <v>0.90530303030303028</v>
      </c>
      <c r="E23" s="51">
        <f>SUMIFS(الحضور!$G$8:$G$47,الحضور!$D$8:$D$47,$B23)</f>
        <v>5</v>
      </c>
      <c r="F23" s="64">
        <f>SUMIFS(الحضور!$J$8:$J$47,الحضور!$D$8:$D$47,$B23)</f>
        <v>1044</v>
      </c>
      <c r="G23" s="46">
        <f>SUMIFS(الحضور!$K$8:$K$47,الحضور!$D$8:$D$47,$B23)</f>
        <v>10.299999999999999</v>
      </c>
    </row>
    <row r="25" spans="1:9" ht="25.5" customHeight="1" x14ac:dyDescent="0.35">
      <c r="A25" s="7" t="s">
        <v>452</v>
      </c>
      <c r="B25" s="7"/>
      <c r="C25" s="7"/>
      <c r="D25" s="7"/>
      <c r="E25" s="7"/>
      <c r="F25" s="7"/>
      <c r="G25" s="7"/>
      <c r="H25" s="7"/>
      <c r="I25" s="7"/>
    </row>
  </sheetData>
  <sheetProtection algorithmName="SHA-512" hashValue="PNLqy5ZGPGys6AIYvnDWeWJtw2jQ9b30l2QEibu3jzCg88xydtKwvoxFSgl/MXO0mf/oJmF+KRhJjT4afBJYKA==" saltValue="kZCXud4+fXHyq2HRwzoHfw==" spinCount="100000" sheet="1" formatCells="0" formatColumns="0" formatRows="0" sort="0" autoFilter="0"/>
  <mergeCells count="23">
    <mergeCell ref="B12:C12"/>
    <mergeCell ref="D12:E12"/>
    <mergeCell ref="F12:G12"/>
    <mergeCell ref="B15:G15"/>
    <mergeCell ref="A25:I25"/>
    <mergeCell ref="B9:C9"/>
    <mergeCell ref="D9:E9"/>
    <mergeCell ref="F9:G9"/>
    <mergeCell ref="B11:C11"/>
    <mergeCell ref="D11:E11"/>
    <mergeCell ref="F11:G11"/>
    <mergeCell ref="B6:C6"/>
    <mergeCell ref="D6:E6"/>
    <mergeCell ref="F6:G6"/>
    <mergeCell ref="B8:C8"/>
    <mergeCell ref="D8:E8"/>
    <mergeCell ref="F8:G8"/>
    <mergeCell ref="A1:I1"/>
    <mergeCell ref="A2:I2"/>
    <mergeCell ref="B4:G4"/>
    <mergeCell ref="B5:C5"/>
    <mergeCell ref="D5:E5"/>
    <mergeCell ref="F5:G5"/>
  </mergeCells>
  <conditionalFormatting sqref="D17:D23">
    <cfRule type="colorScale" priority="2">
      <colorScale>
        <cfvo type="num" val="0.7"/>
        <cfvo type="num" val="0.85"/>
        <cfvo type="num" val="1"/>
        <color rgb="FFF8696B"/>
        <color rgb="FFFFEB84"/>
        <color rgb="FF63BE7B"/>
      </colorScale>
    </cfRule>
  </conditionalFormatting>
  <conditionalFormatting sqref="F17:F23">
    <cfRule type="dataBar" priority="3">
      <dataBar>
        <cfvo type="min"/>
        <cfvo type="max"/>
        <color rgb="FFB0762A"/>
      </dataBar>
      <extLst>
        <ext xmlns:x14="http://schemas.microsoft.com/office/spreadsheetml/2009/9/main" uri="{B025F937-C7B1-47D3-B67F-A62EFF666E3E}">
          <x14:id>{7ABE719D-3778-49BE-99CC-CD5AE49C20A5}</x14:id>
        </ext>
      </extLst>
    </cfRule>
  </conditionalFormatting>
  <printOptions horizontalCentered="1"/>
  <pageMargins left="0.75" right="0.75" top="1" bottom="1" header="0.5" footer="0.5"/>
  <pageSetup fitToHeight="0" orientation="portrait"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78C0D931-6437-407d-A8EE-F0AAD7539E65}">
      <x14:conditionalFormattings>
        <x14:conditionalFormatting xmlns:xm="http://schemas.microsoft.com/office/excel/2006/main">
          <x14:cfRule type="dataBar" id="{7ABE719D-3778-49BE-99CC-CD5AE49C20A5}">
            <x14:dataBar axisPosition="none">
              <x14:cfvo type="min"/>
              <x14:cfvo type="max"/>
              <x14:negativeFillColor rgb="FFB0762A"/>
            </x14:dataBar>
          </x14:cfRule>
          <xm:sqref>F17:F23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43"/>
  <sheetViews>
    <sheetView showGridLines="0" rightToLeft="1" zoomScale="164" zoomScaleNormal="100" workbookViewId="0">
      <selection activeCell="D9" sqref="D9"/>
    </sheetView>
  </sheetViews>
  <sheetFormatPr defaultColWidth="8.6328125" defaultRowHeight="14.5" x14ac:dyDescent="0.35"/>
  <cols>
    <col min="1" max="1" width="3" customWidth="1"/>
    <col min="2" max="2" width="26" customWidth="1"/>
    <col min="3" max="5" width="24" customWidth="1"/>
    <col min="6" max="6" width="3" customWidth="1"/>
  </cols>
  <sheetData>
    <row r="1" spans="1:6" ht="30" customHeight="1" x14ac:dyDescent="0.35">
      <c r="A1" s="14" t="s">
        <v>453</v>
      </c>
      <c r="B1" s="14"/>
      <c r="C1" s="14"/>
      <c r="D1" s="14"/>
      <c r="E1" s="14"/>
      <c r="F1" s="14"/>
    </row>
    <row r="2" spans="1:6" ht="18" customHeight="1" x14ac:dyDescent="0.35">
      <c r="A2" s="13" t="s">
        <v>454</v>
      </c>
      <c r="B2" s="13"/>
      <c r="C2" s="13"/>
      <c r="D2" s="13"/>
      <c r="E2" s="13"/>
      <c r="F2" s="13"/>
    </row>
    <row r="4" spans="1:6" ht="25.5" customHeight="1" x14ac:dyDescent="0.35">
      <c r="B4" s="27" t="s">
        <v>455</v>
      </c>
      <c r="C4" s="93" t="s">
        <v>234</v>
      </c>
    </row>
    <row r="6" spans="1:6" ht="21.75" customHeight="1" x14ac:dyDescent="0.35">
      <c r="B6" s="12" t="s">
        <v>456</v>
      </c>
      <c r="C6" s="12"/>
      <c r="D6" s="12"/>
    </row>
    <row r="7" spans="1:6" ht="18.75" customHeight="1" x14ac:dyDescent="0.35">
      <c r="B7" s="27" t="s">
        <v>457</v>
      </c>
      <c r="C7" s="87" t="str">
        <f>IFERROR(INDEX(الموظفون!$C$6:$C$45,MATCH($C$4,الموظفون!$B$6:$B$45,0)),"")</f>
        <v>كريم سعيد الخولي</v>
      </c>
    </row>
    <row r="8" spans="1:6" ht="18.75" customHeight="1" x14ac:dyDescent="0.35">
      <c r="B8" s="27" t="s">
        <v>203</v>
      </c>
      <c r="C8" s="87" t="str">
        <f>IFERROR(INDEX(الموظفون!$D$6:$D$45,MATCH($C$4,الموظفون!$B$6:$B$45,0)),"")</f>
        <v>الجودة</v>
      </c>
    </row>
    <row r="9" spans="1:6" ht="18.75" customHeight="1" x14ac:dyDescent="0.35">
      <c r="B9" s="27" t="s">
        <v>204</v>
      </c>
      <c r="C9" s="87" t="str">
        <f>IFERROR(INDEX(الموظفون!$E$6:$E$45,MATCH($C$4,الموظفون!$B$6:$B$45,0)),"")</f>
        <v>بندر الغامدي</v>
      </c>
    </row>
    <row r="10" spans="1:6" ht="18.75" customHeight="1" x14ac:dyDescent="0.35">
      <c r="B10" s="27" t="s">
        <v>205</v>
      </c>
      <c r="C10" s="94">
        <f>IFERROR(INDEX(الموظفون!$F$6:$F$45,MATCH($C$4,الموظفون!$B$6:$B$45,0)),"")</f>
        <v>45017</v>
      </c>
    </row>
    <row r="11" spans="1:6" ht="18.75" customHeight="1" x14ac:dyDescent="0.35">
      <c r="B11" s="27" t="s">
        <v>206</v>
      </c>
      <c r="C11" s="95">
        <f>IFERROR(INDEX(الموظفون!$G$6:$G$45,MATCH($C$4,الموظفون!$B$6:$B$45,0)),"")</f>
        <v>3.4</v>
      </c>
    </row>
    <row r="12" spans="1:6" ht="18.75" customHeight="1" x14ac:dyDescent="0.35">
      <c r="B12" s="27" t="s">
        <v>207</v>
      </c>
      <c r="C12" s="87" t="str">
        <f>IFERROR(INDEX(الموظفون!$H$6:$H$45,MATCH($C$4,الموظفون!$B$6:$B$45,0)),"")</f>
        <v>محدد المدة</v>
      </c>
    </row>
    <row r="14" spans="1:6" ht="21.75" customHeight="1" x14ac:dyDescent="0.35">
      <c r="B14" s="12" t="s">
        <v>458</v>
      </c>
      <c r="C14" s="12"/>
      <c r="D14" s="12"/>
    </row>
    <row r="15" spans="1:6" ht="18.75" customHeight="1" x14ac:dyDescent="0.35">
      <c r="B15" s="27" t="s">
        <v>82</v>
      </c>
      <c r="C15" s="87" t="str">
        <f>الإعدادات!$C$14</f>
        <v>أغسطس 2026</v>
      </c>
    </row>
    <row r="16" spans="1:6" ht="18.75" customHeight="1" x14ac:dyDescent="0.35">
      <c r="B16" s="27" t="s">
        <v>322</v>
      </c>
      <c r="C16" s="96">
        <f>IFERROR(INDEX(الحضور!$E$8:$E$47,MATCH($C$4,الحضور!$B$8:$B$47,0)),"")</f>
        <v>22</v>
      </c>
    </row>
    <row r="17" spans="2:4" ht="18.75" customHeight="1" x14ac:dyDescent="0.35">
      <c r="B17" s="27" t="s">
        <v>323</v>
      </c>
      <c r="C17" s="95">
        <f>IFERROR(INDEX(الحضور!$F$8:$F$47,MATCH($C$4,الحضور!$B$8:$B$47,0)),"")</f>
        <v>18</v>
      </c>
    </row>
    <row r="18" spans="2:4" ht="18.75" customHeight="1" x14ac:dyDescent="0.35">
      <c r="B18" s="27" t="s">
        <v>146</v>
      </c>
      <c r="C18" s="97">
        <f>IFERROR(INDEX(الحضور!$G$8:$G$47,MATCH($C$4,الحضور!$B$8:$B$47,0)),"")</f>
        <v>0</v>
      </c>
    </row>
    <row r="19" spans="2:4" ht="18.75" customHeight="1" x14ac:dyDescent="0.35">
      <c r="B19" s="27" t="s">
        <v>324</v>
      </c>
      <c r="C19" s="96">
        <f>IFERROR(INDEX(الحضور!$H$8:$H$47,MATCH($C$4,الحضور!$B$8:$B$47,0)),"")</f>
        <v>4</v>
      </c>
    </row>
    <row r="20" spans="2:4" ht="18.75" customHeight="1" x14ac:dyDescent="0.35">
      <c r="B20" s="27" t="s">
        <v>325</v>
      </c>
      <c r="C20" s="98">
        <f>IFERROR(INDEX(الحضور!$I$8:$I$47,MATCH($C$4,الحضور!$B$8:$B$47,0)),"")</f>
        <v>0.81818181818181823</v>
      </c>
    </row>
    <row r="21" spans="2:4" ht="18.75" customHeight="1" x14ac:dyDescent="0.35">
      <c r="B21" s="27" t="s">
        <v>326</v>
      </c>
      <c r="C21" s="99">
        <f>IFERROR(INDEX(الحضور!$J$8:$J$47,MATCH($C$4,الحضور!$B$8:$B$47,0)),"")</f>
        <v>35</v>
      </c>
    </row>
    <row r="22" spans="2:4" ht="18.75" customHeight="1" x14ac:dyDescent="0.35">
      <c r="B22" s="27" t="s">
        <v>327</v>
      </c>
      <c r="C22" s="95">
        <f>IFERROR(INDEX(الحضور!$K$8:$K$47,MATCH($C$4,الحضور!$B$8:$B$47,0)),"")</f>
        <v>0</v>
      </c>
    </row>
    <row r="24" spans="2:4" ht="21.75" customHeight="1" x14ac:dyDescent="0.35">
      <c r="B24" s="12" t="s">
        <v>380</v>
      </c>
      <c r="C24" s="12"/>
      <c r="D24" s="12"/>
    </row>
    <row r="25" spans="2:4" ht="18.75" customHeight="1" x14ac:dyDescent="0.35">
      <c r="B25" s="27" t="s">
        <v>382</v>
      </c>
      <c r="C25" s="96">
        <f>IFERROR(INDEX(الأرصدة!$F$6:$F$45,MATCH($C$4,الموظفون!$B$6:$B$45,0)),"")</f>
        <v>21</v>
      </c>
    </row>
    <row r="26" spans="2:4" ht="18.75" customHeight="1" x14ac:dyDescent="0.35">
      <c r="B26" s="27" t="s">
        <v>383</v>
      </c>
      <c r="C26" s="95">
        <f>IFERROR(INDEX(الأرصدة!$G$6:$G$45,MATCH($C$4,الموظفون!$B$6:$B$45,0)),"")</f>
        <v>0</v>
      </c>
    </row>
    <row r="27" spans="2:4" ht="18.75" customHeight="1" x14ac:dyDescent="0.35">
      <c r="B27" s="27" t="s">
        <v>385</v>
      </c>
      <c r="C27" s="96">
        <f>IFERROR(INDEX(الأرصدة!$I$6:$I$45,MATCH($C$4,الموظفون!$B$6:$B$45,0)),"")</f>
        <v>4</v>
      </c>
    </row>
    <row r="28" spans="2:4" ht="18.75" customHeight="1" x14ac:dyDescent="0.35">
      <c r="B28" s="27" t="s">
        <v>387</v>
      </c>
      <c r="C28" s="100">
        <f>IFERROR(INDEX(الأرصدة!$K$6:$K$45,MATCH($C$4,الموظفون!$B$6:$B$45,0)),"")</f>
        <v>17</v>
      </c>
    </row>
    <row r="29" spans="2:4" ht="18.75" customHeight="1" x14ac:dyDescent="0.35">
      <c r="B29" s="27" t="s">
        <v>388</v>
      </c>
      <c r="C29" s="96">
        <f>IFERROR(INDEX(الأرصدة!$L$6:$L$45,MATCH($C$4,الموظفون!$B$6:$B$45,0)),"")</f>
        <v>0</v>
      </c>
    </row>
    <row r="30" spans="2:4" ht="18.75" customHeight="1" x14ac:dyDescent="0.35">
      <c r="B30" s="27" t="s">
        <v>389</v>
      </c>
      <c r="C30" s="96">
        <f>IFERROR(INDEX(الأرصدة!$M$6:$M$45,MATCH($C$4,الموظفون!$B$6:$B$45,0)),"")</f>
        <v>120</v>
      </c>
    </row>
    <row r="32" spans="2:4" ht="21.75" customHeight="1" x14ac:dyDescent="0.35">
      <c r="B32" s="12" t="s">
        <v>459</v>
      </c>
      <c r="C32" s="12"/>
      <c r="D32" s="12"/>
    </row>
    <row r="33" spans="2:4" ht="18.75" customHeight="1" x14ac:dyDescent="0.35">
      <c r="B33" s="27" t="s">
        <v>371</v>
      </c>
      <c r="C33" s="101">
        <f>IFERROR(INDEX(الجزاءات!$H$22:$H$61,MATCH($C$4,الحضور!$B$8:$B$47,0)),"")</f>
        <v>0</v>
      </c>
    </row>
    <row r="34" spans="2:4" ht="18.75" customHeight="1" x14ac:dyDescent="0.35">
      <c r="B34" s="27" t="s">
        <v>373</v>
      </c>
      <c r="C34" s="101">
        <f>IFERROR(INDEX(الجزاءات!$J$22:$J$61,MATCH($C$4,الحضور!$B$8:$B$47,0)),"")</f>
        <v>0</v>
      </c>
    </row>
    <row r="35" spans="2:4" ht="18.75" customHeight="1" x14ac:dyDescent="0.35">
      <c r="B35" s="27" t="s">
        <v>460</v>
      </c>
      <c r="C35" s="102">
        <f>IFERROR(INDEX(الجزاءات!$L$22:$L$61,MATCH($C$4,الحضور!$B$8:$B$47,0)),"")</f>
        <v>0</v>
      </c>
    </row>
    <row r="36" spans="2:4" ht="18.75" customHeight="1" x14ac:dyDescent="0.35">
      <c r="B36" s="27" t="s">
        <v>376</v>
      </c>
      <c r="C36" s="103">
        <f>IFERROR(INDEX(الجزاءات!$M$22:$M$61,MATCH($C$4,الحضور!$B$8:$B$47,0)),"")</f>
        <v>0</v>
      </c>
    </row>
    <row r="37" spans="2:4" ht="18.75" customHeight="1" x14ac:dyDescent="0.35">
      <c r="B37" s="27" t="s">
        <v>430</v>
      </c>
      <c r="C37" s="103">
        <f>IFERROR(INDEX(الرواتب!$P$6:$P$45,MATCH($C$4,الموظفون!$B$6:$B$45,0)),"")</f>
        <v>0</v>
      </c>
    </row>
    <row r="38" spans="2:4" ht="18.75" customHeight="1" x14ac:dyDescent="0.35">
      <c r="B38" s="27" t="s">
        <v>438</v>
      </c>
      <c r="C38" s="104">
        <f>IFERROR(INDEX(الرواتب!$Q$6:$Q$45,MATCH($C$4,الموظفون!$B$6:$B$45,0)),"")</f>
        <v>6500</v>
      </c>
    </row>
    <row r="40" spans="2:4" x14ac:dyDescent="0.35">
      <c r="B40" s="115" t="str">
        <f>" أُصدر هذا الكشف عن الفترة "&amp;الإعدادات!$C$14&amp;"  —  "&amp;الإعدادات!$C$7&amp;"  —  إصدار "&amp;الإعدادات!$C$8</f>
        <v xml:space="preserve"> أُصدر هذا الكشف عن الفترة أغسطس 2026  —  شركة امتثال للاستشارات والتاهيل 
  —  إصدار 1.0</v>
      </c>
      <c r="C40" s="115"/>
      <c r="D40" s="115"/>
    </row>
    <row r="42" spans="2:4" x14ac:dyDescent="0.35">
      <c r="B42" s="27" t="s">
        <v>461</v>
      </c>
      <c r="C42" s="27" t="s">
        <v>462</v>
      </c>
      <c r="D42" s="27" t="s">
        <v>18</v>
      </c>
    </row>
    <row r="43" spans="2:4" ht="33.75" customHeight="1" x14ac:dyDescent="0.35">
      <c r="B43" s="105"/>
      <c r="C43" s="105"/>
      <c r="D43" s="105"/>
    </row>
  </sheetData>
  <sheetProtection algorithmName="SHA-512" hashValue="wOw3Nyib74GNBGbtq1JiHhMYHrf/j6K7fbBDirOsSWfGL/SVXeSnUoq1WmqkPHIj1yvGRbVwnma+nEsrel3Ybg==" saltValue="XQSsMbL/lBDxZYRNZL/8zw==" spinCount="100000" sheet="1" formatCells="0" formatColumns="0" formatRows="0" sort="0" autoFilter="0"/>
  <mergeCells count="7">
    <mergeCell ref="B32:D32"/>
    <mergeCell ref="B40:D40"/>
    <mergeCell ref="A1:F1"/>
    <mergeCell ref="A2:F2"/>
    <mergeCell ref="B6:D6"/>
    <mergeCell ref="B14:D14"/>
    <mergeCell ref="B24:D24"/>
  </mergeCells>
  <printOptions horizontalCentered="1"/>
  <pageMargins left="0.75" right="0.75" top="1" bottom="1" header="0.5" footer="0.5"/>
  <pageSetup fitToHeight="0" orientation="portrait"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CCE6A557-97BC-4b89-ADB6-D9C93CAAB3DF}">
      <x14:dataValidations xmlns:xm="http://schemas.microsoft.com/office/excel/2006/main" count="1">
        <x14:dataValidation type="list" xr:uid="{00000000-0002-0000-0D00-000000000000}">
          <x14:formula1>
            <xm:f>الموظفون!$B$6:$B$45</xm:f>
          </x14:formula1>
          <x14:formula2>
            <xm:f>0</xm:f>
          </x14:formula2>
          <xm:sqref>C4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36"/>
  <sheetViews>
    <sheetView showGridLines="0" rightToLeft="1" zoomScale="136" zoomScaleNormal="100" workbookViewId="0">
      <selection activeCell="C4" sqref="C4"/>
    </sheetView>
  </sheetViews>
  <sheetFormatPr defaultColWidth="8.6328125" defaultRowHeight="14.5" x14ac:dyDescent="0.35"/>
  <cols>
    <col min="1" max="1" width="4" customWidth="1"/>
    <col min="2" max="2" width="22" customWidth="1"/>
    <col min="3" max="3" width="76" customWidth="1"/>
    <col min="4" max="4" width="4" customWidth="1"/>
  </cols>
  <sheetData>
    <row r="1" spans="1:4" ht="30" customHeight="1" x14ac:dyDescent="0.35">
      <c r="A1" s="14" t="s">
        <v>52</v>
      </c>
      <c r="B1" s="14"/>
      <c r="C1" s="14"/>
      <c r="D1" s="14"/>
    </row>
    <row r="2" spans="1:4" ht="18" customHeight="1" x14ac:dyDescent="0.35">
      <c r="A2" s="13" t="s">
        <v>463</v>
      </c>
      <c r="B2" s="13"/>
      <c r="C2" s="13"/>
      <c r="D2" s="13"/>
    </row>
    <row r="4" spans="1:4" ht="24" customHeight="1" x14ac:dyDescent="0.35">
      <c r="B4" s="27" t="s">
        <v>201</v>
      </c>
      <c r="C4" s="106" t="s">
        <v>232</v>
      </c>
    </row>
    <row r="5" spans="1:4" x14ac:dyDescent="0.35">
      <c r="B5" s="27" t="s">
        <v>464</v>
      </c>
      <c r="C5" s="107">
        <v>46265</v>
      </c>
    </row>
    <row r="7" spans="1:4" ht="21.75" customHeight="1" x14ac:dyDescent="0.35">
      <c r="B7" s="12" t="s">
        <v>465</v>
      </c>
      <c r="C7" s="12"/>
    </row>
    <row r="8" spans="1:4" x14ac:dyDescent="0.35">
      <c r="B8" s="27" t="s">
        <v>202</v>
      </c>
      <c r="C8" s="87" t="str">
        <f>IFERROR(INDEX(الموظفون!$C$6:$C$45,MATCH($C$4,الموظفون!$B$6:$B$45,0)),"")</f>
        <v>سلطان الحربي</v>
      </c>
    </row>
    <row r="9" spans="1:4" x14ac:dyDescent="0.35">
      <c r="B9" s="27" t="s">
        <v>203</v>
      </c>
      <c r="C9" s="87" t="str">
        <f>IFERROR(INDEX(الموظفون!$D$6:$D$45,MATCH($C$4,الموظفون!$B$6:$B$45,0)),"")</f>
        <v>الجودة</v>
      </c>
    </row>
    <row r="10" spans="1:4" x14ac:dyDescent="0.35">
      <c r="B10" s="27" t="s">
        <v>466</v>
      </c>
      <c r="C10" s="96">
        <f>IFERROR(INDEX(الحضور!$G$8:$G$47,MATCH($C$4,الحضور!$B$8:$B$47,0)),0)</f>
        <v>0</v>
      </c>
    </row>
    <row r="11" spans="1:4" x14ac:dyDescent="0.35">
      <c r="B11" s="27" t="s">
        <v>467</v>
      </c>
      <c r="C11" s="96">
        <f>IFERROR(INDEX(التجميع!$R$6:$R$45,MATCH($C$4,الموظفون!$B$6:$B$45,0)),0)</f>
        <v>0</v>
      </c>
    </row>
    <row r="12" spans="1:4" x14ac:dyDescent="0.35">
      <c r="B12" s="27" t="s">
        <v>468</v>
      </c>
      <c r="C12" s="96">
        <f>IFERROR(INDEX(التجميع!$P$6:$P$45,MATCH($C$4,الموظفون!$B$6:$B$45,0)),0)</f>
        <v>0</v>
      </c>
    </row>
    <row r="13" spans="1:4" x14ac:dyDescent="0.35">
      <c r="B13" s="27" t="s">
        <v>469</v>
      </c>
      <c r="C13" s="108">
        <f>IFERROR(INDEX(الحضور!$J$8:$J$47,MATCH($C$4,الحضور!$B$8:$B$47,0)),0)</f>
        <v>70</v>
      </c>
    </row>
    <row r="15" spans="1:4" ht="21.75" customHeight="1" x14ac:dyDescent="0.35">
      <c r="B15" s="12" t="s">
        <v>470</v>
      </c>
      <c r="C15" s="12"/>
    </row>
    <row r="16" spans="1:4" ht="19.5" customHeight="1" x14ac:dyDescent="0.35">
      <c r="B16" s="116" t="str">
        <f>"السادة / "&amp;IFERROR(INDEX(الموظفون!$C$6:$C$45,MATCH($C$4,الموظفون!$B$6:$B$45,0)),"")&amp;"   المحترم"&amp;CHAR(10)&amp;CHAR(10)&amp;"الموضوع: إنذار كتابي بشأن الانقطاع عن العمل"&amp;CHAR(10)&amp;CHAR(10)&amp;"تحية طيبة وبعد،"&amp;CHAR(10)&amp;CHAR(10)&amp;"بالإشارة إلى سجلات الحضور والانصراف لدى "&amp;الإعدادات!$C$7&amp;" عن الفترة "&amp;الإعدادات!$C$14&amp;"، تبيّن أنكم تغيبتم عن العمل بدون إذن أو سبب مشروع لمدة "&amp;IFERROR(INDEX(الحضور!$G$8:$G$47,MATCH($C$4,الحضور!$B$8:$B$47,0)),0)&amp;" يوم خلال هذا الشهر، وأن أطول فترة انقطاع متصلة بلغت "&amp;IFERROR(INDEX(التجميع!$R$6:$R$45,MATCH($C$4,الموظفون!$B$6:$B$45,0)),0)&amp;" يوماً، وأن إجمالي أيام الانقطاع خلال السنة بلغ "&amp;IFERROR(INDEX(التجميع!$P$6:$P$45,MATCH($C$4,الموظفون!$B$6:$B$45,0)),0)&amp;" يوماً."&amp;CHAR(10)&amp;CHAR(10)&amp;"وحيث إن نظام العمل يجيز في المادة (80) فسخ العقد دون مكافأة أو إشعار "&amp;"إذا تجاوز الغياب بدون سبب مشروع "&amp;الإعدادات!$C$36&amp;" يوماً متصلة أو "&amp;الإعدادات!$C$37&amp;" يوماً متقطعة خلال السنة العقدية، "&amp;"وحيث إن هذا الإنذار الكتابي شرط سابق على ذلك الإجراء، "&amp;CHAR(10)&amp;CHAR(10)&amp;"فإننا نوجّه إليكم هذا الإنذار الكتابي، ونطالبكم بالعودة الفورية إلى العمل "&amp;"أو تقديم ما يثبت مشروعية الانقطاع خلال ثلاثة أيام من تاريخ استلام هذا الخطاب. "&amp;"وفي حال عدم الاستجابة، ستتخذ المنشأة الإجراءات النظامية المقررة دون إخطار آخر."&amp;CHAR(10)&amp;CHAR(10)&amp;"وتفضلوا بقبول فائق الاحترام،"&amp;CHAR(10)&amp;CHAR(10)&amp;"إدارة الموارد البشرية"&amp;CHAR(10)&amp;الإعدادات!$C$7&amp;CHAR(10)&amp;"التاريخ: "&amp;TEXT($C$5,"yyyy-mm-dd")</f>
        <v>السادة / سلطان الحربي   المحترم
الموضوع: إنذار كتابي بشأن الانقطاع عن العمل
تحية طيبة وبعد،
بالإشارة إلى سجلات الحضور والانصراف لدى شركة امتثال للاستشارات والتاهيل 
 عن الفترة أغسطس 2026، تبيّن أنكم تغيبتم عن العمل بدون إذن أو سبب مشروع لمدة 0 يوم خلال هذا الشهر، وأن أطول فترة انقطاع متصلة بلغت 0 يوماً، وأن إجمالي أيام الانقطاع خلال السنة بلغ 0 يوماً.
وحيث إن نظام العمل يجيز في المادة (80) فسخ العقد دون مكافأة أو إشعار إذا تجاوز الغياب بدون سبب مشروع 15 يوماً متصلة أو 30 يوماً متقطعة خلال السنة العقدية، وحيث إن هذا الإنذار الكتابي شرط سابق على ذلك الإجراء، 
فإننا نوجّه إليكم هذا الإنذار الكتابي، ونطالبكم بالعودة الفورية إلى العمل أو تقديم ما يثبت مشروعية الانقطاع خلال ثلاثة أيام من تاريخ استلام هذا الخطاب. وفي حال عدم الاستجابة، ستتخذ المنشأة الإجراءات النظامية المقررة دون إخطار آخر.
وتفضلوا بقبول فائق الاحترام،
إدارة الموارد البشرية
شركة امتثال للاستشارات والتاهيل 
التاريخ: 2026-08-31</v>
      </c>
      <c r="C16" s="116"/>
    </row>
    <row r="17" spans="2:3" ht="19.5" customHeight="1" x14ac:dyDescent="0.35">
      <c r="B17" s="116"/>
      <c r="C17" s="116"/>
    </row>
    <row r="18" spans="2:3" ht="19.5" customHeight="1" x14ac:dyDescent="0.35">
      <c r="B18" s="116"/>
      <c r="C18" s="116"/>
    </row>
    <row r="19" spans="2:3" ht="19.5" customHeight="1" x14ac:dyDescent="0.35">
      <c r="B19" s="116"/>
      <c r="C19" s="116"/>
    </row>
    <row r="20" spans="2:3" ht="19.5" customHeight="1" x14ac:dyDescent="0.35">
      <c r="B20" s="116"/>
      <c r="C20" s="116"/>
    </row>
    <row r="21" spans="2:3" ht="19.5" customHeight="1" x14ac:dyDescent="0.35">
      <c r="B21" s="116"/>
      <c r="C21" s="116"/>
    </row>
    <row r="22" spans="2:3" ht="19.5" customHeight="1" x14ac:dyDescent="0.35">
      <c r="B22" s="116"/>
      <c r="C22" s="116"/>
    </row>
    <row r="23" spans="2:3" ht="19.5" customHeight="1" x14ac:dyDescent="0.35">
      <c r="B23" s="116"/>
      <c r="C23" s="116"/>
    </row>
    <row r="24" spans="2:3" ht="19.5" customHeight="1" x14ac:dyDescent="0.35">
      <c r="B24" s="116"/>
      <c r="C24" s="116"/>
    </row>
    <row r="25" spans="2:3" ht="19.5" customHeight="1" x14ac:dyDescent="0.35">
      <c r="B25" s="116"/>
      <c r="C25" s="116"/>
    </row>
    <row r="26" spans="2:3" ht="19.5" customHeight="1" x14ac:dyDescent="0.35">
      <c r="B26" s="116"/>
      <c r="C26" s="116"/>
    </row>
    <row r="27" spans="2:3" ht="19.5" customHeight="1" x14ac:dyDescent="0.35">
      <c r="B27" s="116"/>
      <c r="C27" s="116"/>
    </row>
    <row r="28" spans="2:3" ht="19.5" customHeight="1" x14ac:dyDescent="0.35">
      <c r="B28" s="116"/>
      <c r="C28" s="116"/>
    </row>
    <row r="29" spans="2:3" ht="19.5" customHeight="1" x14ac:dyDescent="0.35">
      <c r="B29" s="116"/>
      <c r="C29" s="116"/>
    </row>
    <row r="30" spans="2:3" ht="19.5" customHeight="1" x14ac:dyDescent="0.35">
      <c r="B30" s="116"/>
      <c r="C30" s="116"/>
    </row>
    <row r="31" spans="2:3" ht="19.5" customHeight="1" x14ac:dyDescent="0.35">
      <c r="B31" s="116"/>
      <c r="C31" s="116"/>
    </row>
    <row r="32" spans="2:3" ht="19.5" customHeight="1" x14ac:dyDescent="0.35">
      <c r="B32" s="116"/>
      <c r="C32" s="116"/>
    </row>
    <row r="34" spans="1:4" ht="25.5" customHeight="1" x14ac:dyDescent="0.35">
      <c r="A34" s="10" t="s">
        <v>471</v>
      </c>
      <c r="B34" s="10"/>
      <c r="C34" s="10"/>
      <c r="D34" s="10"/>
    </row>
    <row r="35" spans="1:4" ht="25.5" customHeight="1" x14ac:dyDescent="0.35">
      <c r="A35" s="8" t="s">
        <v>472</v>
      </c>
      <c r="B35" s="8"/>
      <c r="C35" s="8"/>
      <c r="D35" s="8"/>
    </row>
    <row r="36" spans="1:4" ht="25.5" customHeight="1" x14ac:dyDescent="0.35">
      <c r="A36" s="9" t="s">
        <v>473</v>
      </c>
      <c r="B36" s="9"/>
      <c r="C36" s="9"/>
      <c r="D36" s="9"/>
    </row>
  </sheetData>
  <sheetProtection sheet="1" formatCells="0" formatColumns="0" formatRows="0" sort="0" autoFilter="0"/>
  <mergeCells count="8">
    <mergeCell ref="A34:D34"/>
    <mergeCell ref="A35:D35"/>
    <mergeCell ref="A36:D36"/>
    <mergeCell ref="A1:D1"/>
    <mergeCell ref="A2:D2"/>
    <mergeCell ref="B7:C7"/>
    <mergeCell ref="B15:C15"/>
    <mergeCell ref="B16:C32"/>
  </mergeCells>
  <printOptions horizontalCentered="1"/>
  <pageMargins left="0.75" right="0.75" top="1" bottom="1" header="0.5" footer="0.5"/>
  <pageSetup fitToHeight="0" orientation="portrait"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CCE6A557-97BC-4b89-ADB6-D9C93CAAB3DF}">
      <x14:dataValidations xmlns:xm="http://schemas.microsoft.com/office/excel/2006/main" count="1">
        <x14:dataValidation type="list" xr:uid="{00000000-0002-0000-0E00-000000000000}">
          <x14:formula1>
            <xm:f>الموظفون!$B$6:$B$45</xm:f>
          </x14:formula1>
          <x14:formula2>
            <xm:f>0</xm:f>
          </x14:formula2>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5"/>
  <sheetViews>
    <sheetView showGridLines="0" rightToLeft="1" topLeftCell="A26" zoomScaleNormal="100" workbookViewId="0">
      <selection activeCell="I5" sqref="I5"/>
    </sheetView>
  </sheetViews>
  <sheetFormatPr defaultColWidth="8.6328125" defaultRowHeight="14.5" x14ac:dyDescent="0.35"/>
  <cols>
    <col min="1" max="1" width="3" customWidth="1"/>
    <col min="2" max="2" width="34" customWidth="1"/>
    <col min="3" max="3" width="25.26953125" customWidth="1"/>
    <col min="4" max="4" width="58" customWidth="1"/>
    <col min="5" max="5" width="3" customWidth="1"/>
  </cols>
  <sheetData>
    <row r="1" spans="1:5" ht="30" customHeight="1" x14ac:dyDescent="0.35">
      <c r="A1" s="14" t="s">
        <v>62</v>
      </c>
      <c r="B1" s="14"/>
      <c r="C1" s="14"/>
      <c r="D1" s="14"/>
      <c r="E1" s="14"/>
    </row>
    <row r="2" spans="1:5" ht="18" customHeight="1" x14ac:dyDescent="0.35">
      <c r="A2" s="13" t="s">
        <v>63</v>
      </c>
      <c r="B2" s="13"/>
      <c r="C2" s="13"/>
      <c r="D2" s="13"/>
      <c r="E2" s="13"/>
    </row>
    <row r="4" spans="1:5" ht="21.75" customHeight="1" x14ac:dyDescent="0.35">
      <c r="B4" s="12" t="s">
        <v>64</v>
      </c>
      <c r="C4" s="12"/>
      <c r="D4" s="12"/>
    </row>
    <row r="5" spans="1:5" ht="19.5" customHeight="1" x14ac:dyDescent="0.35">
      <c r="B5" s="27" t="s">
        <v>65</v>
      </c>
      <c r="C5" s="28" t="s">
        <v>66</v>
      </c>
      <c r="D5" s="29" t="s">
        <v>1</v>
      </c>
    </row>
    <row r="6" spans="1:5" ht="19.5" customHeight="1" x14ac:dyDescent="0.35">
      <c r="B6" s="27" t="s">
        <v>67</v>
      </c>
      <c r="C6" s="28" t="s">
        <v>68</v>
      </c>
      <c r="D6" s="29" t="s">
        <v>69</v>
      </c>
    </row>
    <row r="7" spans="1:5" ht="32.5" customHeight="1" x14ac:dyDescent="0.35">
      <c r="B7" s="27" t="s">
        <v>70</v>
      </c>
      <c r="C7" s="117" t="s">
        <v>474</v>
      </c>
      <c r="D7" s="29" t="s">
        <v>71</v>
      </c>
    </row>
    <row r="8" spans="1:5" ht="19.5" customHeight="1" x14ac:dyDescent="0.35">
      <c r="B8" s="27" t="s">
        <v>72</v>
      </c>
      <c r="C8" s="30" t="s">
        <v>73</v>
      </c>
      <c r="D8" s="29" t="s">
        <v>74</v>
      </c>
    </row>
    <row r="9" spans="1:5" ht="19.5" customHeight="1" x14ac:dyDescent="0.35">
      <c r="B9" s="27" t="s">
        <v>75</v>
      </c>
      <c r="C9" s="31">
        <v>46258</v>
      </c>
      <c r="D9" s="29" t="s">
        <v>76</v>
      </c>
    </row>
    <row r="11" spans="1:5" ht="21.75" customHeight="1" x14ac:dyDescent="0.35">
      <c r="B11" s="12" t="s">
        <v>77</v>
      </c>
      <c r="C11" s="12"/>
      <c r="D11" s="12"/>
    </row>
    <row r="12" spans="1:5" ht="19.5" customHeight="1" x14ac:dyDescent="0.35">
      <c r="B12" s="27" t="s">
        <v>78</v>
      </c>
      <c r="C12" s="32">
        <v>2026</v>
      </c>
      <c r="D12" s="29" t="s">
        <v>79</v>
      </c>
    </row>
    <row r="13" spans="1:5" ht="19.5" customHeight="1" x14ac:dyDescent="0.35">
      <c r="B13" s="27" t="s">
        <v>80</v>
      </c>
      <c r="C13" s="32">
        <v>8</v>
      </c>
      <c r="D13" s="29" t="s">
        <v>81</v>
      </c>
    </row>
    <row r="14" spans="1:5" ht="19.5" customHeight="1" x14ac:dyDescent="0.35">
      <c r="B14" s="27" t="s">
        <v>82</v>
      </c>
      <c r="C14" s="33" t="str">
        <f>CHOOSE(الإعدادات!$C$13,"يناير","فبراير","مارس","أبريل","مايو","يونيو","يوليو","أغسطس","سبتمبر","أكتوبر","نوفمبر","ديسمبر")&amp;" "&amp;الإعدادات!$C$12</f>
        <v>أغسطس 2026</v>
      </c>
      <c r="D14" s="29" t="s">
        <v>83</v>
      </c>
    </row>
    <row r="15" spans="1:5" ht="19.5" customHeight="1" x14ac:dyDescent="0.35">
      <c r="B15" s="27" t="s">
        <v>84</v>
      </c>
      <c r="C15" s="34">
        <f>DAY(EOMONTH(DATE(الإعدادات!$C$12,الإعدادات!$C$13,1),0))</f>
        <v>31</v>
      </c>
      <c r="D15" s="29" t="s">
        <v>83</v>
      </c>
    </row>
    <row r="16" spans="1:5" ht="19.5" customHeight="1" x14ac:dyDescent="0.35">
      <c r="B16" s="27" t="s">
        <v>85</v>
      </c>
      <c r="C16" s="30" t="s">
        <v>86</v>
      </c>
      <c r="D16" s="29" t="s">
        <v>87</v>
      </c>
    </row>
    <row r="17" spans="2:4" ht="19.5" customHeight="1" x14ac:dyDescent="0.35">
      <c r="B17" s="27" t="s">
        <v>88</v>
      </c>
      <c r="C17" s="34">
        <f>IF(الإعدادات!$C$16="السبت-الأحد",7,6)</f>
        <v>6</v>
      </c>
      <c r="D17" s="29" t="s">
        <v>89</v>
      </c>
    </row>
    <row r="18" spans="2:4" ht="19.5" customHeight="1" x14ac:dyDescent="0.35">
      <c r="B18" s="27" t="s">
        <v>90</v>
      </c>
      <c r="C18" s="34">
        <f>IF(الإعدادات!$C$16="الجمعة فقط",0,IF(الإعدادات!$C$16="السبت-الأحد",1,IF(الإعدادات!$C$16="الجمعة-الأحد",1,7)))</f>
        <v>7</v>
      </c>
      <c r="D18" s="29" t="s">
        <v>91</v>
      </c>
    </row>
    <row r="20" spans="2:4" ht="21.75" customHeight="1" x14ac:dyDescent="0.35">
      <c r="B20" s="12" t="s">
        <v>92</v>
      </c>
      <c r="C20" s="12"/>
      <c r="D20" s="12"/>
    </row>
    <row r="21" spans="2:4" ht="19.5" customHeight="1" x14ac:dyDescent="0.35">
      <c r="B21" s="27" t="s">
        <v>93</v>
      </c>
      <c r="C21" s="35">
        <v>8</v>
      </c>
      <c r="D21" s="29" t="s">
        <v>94</v>
      </c>
    </row>
    <row r="22" spans="2:4" ht="19.5" customHeight="1" x14ac:dyDescent="0.35">
      <c r="B22" s="27" t="s">
        <v>95</v>
      </c>
      <c r="C22" s="32">
        <v>48</v>
      </c>
      <c r="D22" s="29" t="s">
        <v>96</v>
      </c>
    </row>
    <row r="23" spans="2:4" ht="19.5" customHeight="1" x14ac:dyDescent="0.35">
      <c r="B23" s="27" t="s">
        <v>97</v>
      </c>
      <c r="C23" s="30" t="s">
        <v>98</v>
      </c>
      <c r="D23" s="29" t="s">
        <v>99</v>
      </c>
    </row>
    <row r="24" spans="2:4" ht="19.5" customHeight="1" x14ac:dyDescent="0.35">
      <c r="B24" s="27" t="s">
        <v>100</v>
      </c>
      <c r="C24" s="36">
        <f>IF(الإعدادات!$C$23="نعم",6,الإعدادات!$C$21)</f>
        <v>8</v>
      </c>
      <c r="D24" s="29" t="s">
        <v>101</v>
      </c>
    </row>
    <row r="25" spans="2:4" ht="19.5" customHeight="1" x14ac:dyDescent="0.35">
      <c r="B25" s="27" t="s">
        <v>102</v>
      </c>
      <c r="C25" s="32">
        <v>30</v>
      </c>
      <c r="D25" s="29" t="s">
        <v>103</v>
      </c>
    </row>
    <row r="26" spans="2:4" ht="19.5" customHeight="1" x14ac:dyDescent="0.35">
      <c r="B26" s="27" t="s">
        <v>104</v>
      </c>
      <c r="C26" s="32">
        <v>208</v>
      </c>
      <c r="D26" s="29" t="s">
        <v>105</v>
      </c>
    </row>
    <row r="27" spans="2:4" ht="19.5" customHeight="1" x14ac:dyDescent="0.35">
      <c r="B27" s="27" t="s">
        <v>106</v>
      </c>
      <c r="C27" s="35">
        <v>1</v>
      </c>
      <c r="D27" s="29" t="s">
        <v>107</v>
      </c>
    </row>
    <row r="28" spans="2:4" ht="21.75" customHeight="1" x14ac:dyDescent="0.35">
      <c r="B28" s="12" t="s">
        <v>108</v>
      </c>
      <c r="C28" s="12"/>
      <c r="D28" s="12"/>
    </row>
    <row r="29" spans="2:4" ht="19.5" customHeight="1" x14ac:dyDescent="0.35">
      <c r="B29" s="27" t="s">
        <v>109</v>
      </c>
      <c r="C29" s="32">
        <v>360</v>
      </c>
      <c r="D29" s="29" t="s">
        <v>110</v>
      </c>
    </row>
    <row r="30" spans="2:4" ht="19.5" customHeight="1" x14ac:dyDescent="0.35">
      <c r="B30" s="27" t="s">
        <v>111</v>
      </c>
      <c r="C30" s="35">
        <v>5</v>
      </c>
      <c r="D30" s="29" t="s">
        <v>112</v>
      </c>
    </row>
    <row r="31" spans="2:4" ht="19.5" customHeight="1" x14ac:dyDescent="0.35">
      <c r="B31" s="27" t="s">
        <v>113</v>
      </c>
      <c r="C31" s="32">
        <v>180</v>
      </c>
      <c r="D31" s="29" t="s">
        <v>114</v>
      </c>
    </row>
    <row r="33" spans="1:5" ht="21.75" customHeight="1" x14ac:dyDescent="0.35">
      <c r="B33" s="12" t="s">
        <v>115</v>
      </c>
      <c r="C33" s="12"/>
      <c r="D33" s="12"/>
    </row>
    <row r="34" spans="1:5" ht="19.5" customHeight="1" x14ac:dyDescent="0.35">
      <c r="B34" s="27" t="s">
        <v>116</v>
      </c>
      <c r="C34" s="32">
        <v>10</v>
      </c>
      <c r="D34" s="29" t="s">
        <v>117</v>
      </c>
    </row>
    <row r="35" spans="1:5" ht="19.5" customHeight="1" x14ac:dyDescent="0.35">
      <c r="B35" s="27" t="s">
        <v>118</v>
      </c>
      <c r="C35" s="32">
        <v>20</v>
      </c>
      <c r="D35" s="29" t="s">
        <v>119</v>
      </c>
    </row>
    <row r="36" spans="1:5" ht="19.5" customHeight="1" x14ac:dyDescent="0.35">
      <c r="B36" s="27" t="s">
        <v>120</v>
      </c>
      <c r="C36" s="32">
        <v>15</v>
      </c>
      <c r="D36" s="29" t="s">
        <v>121</v>
      </c>
    </row>
    <row r="37" spans="1:5" ht="19.5" customHeight="1" x14ac:dyDescent="0.35">
      <c r="B37" s="27" t="s">
        <v>122</v>
      </c>
      <c r="C37" s="32">
        <v>30</v>
      </c>
      <c r="D37" s="29" t="s">
        <v>121</v>
      </c>
    </row>
    <row r="39" spans="1:5" ht="21.75" customHeight="1" x14ac:dyDescent="0.35">
      <c r="B39" s="12" t="s">
        <v>123</v>
      </c>
      <c r="C39" s="12"/>
      <c r="D39" s="12"/>
    </row>
    <row r="40" spans="1:5" ht="19.5" customHeight="1" x14ac:dyDescent="0.35">
      <c r="B40" s="27" t="s">
        <v>124</v>
      </c>
      <c r="C40" s="37">
        <v>1.5</v>
      </c>
      <c r="D40" s="29" t="s">
        <v>125</v>
      </c>
    </row>
    <row r="41" spans="1:5" ht="19.5" customHeight="1" x14ac:dyDescent="0.35">
      <c r="B41" s="27" t="s">
        <v>126</v>
      </c>
      <c r="C41" s="37">
        <v>1.5</v>
      </c>
      <c r="D41" s="29"/>
    </row>
    <row r="42" spans="1:5" ht="19.5" customHeight="1" x14ac:dyDescent="0.35">
      <c r="B42" s="27" t="s">
        <v>127</v>
      </c>
      <c r="C42" s="37">
        <v>1.5</v>
      </c>
      <c r="D42" s="29"/>
    </row>
    <row r="43" spans="1:5" ht="19.5" customHeight="1" x14ac:dyDescent="0.35">
      <c r="B43" s="27" t="s">
        <v>128</v>
      </c>
      <c r="C43" s="37">
        <v>1.5</v>
      </c>
      <c r="D43" s="29"/>
    </row>
    <row r="45" spans="1:5" ht="25.5" customHeight="1" x14ac:dyDescent="0.35">
      <c r="A45" s="10" t="s">
        <v>58</v>
      </c>
      <c r="B45" s="10"/>
      <c r="C45" s="10"/>
      <c r="D45" s="10"/>
      <c r="E45" s="10"/>
    </row>
  </sheetData>
  <sheetProtection sheet="1" formatCells="0" formatColumns="0" formatRows="0" sort="0" autoFilter="0"/>
  <mergeCells count="9">
    <mergeCell ref="B28:D28"/>
    <mergeCell ref="B33:D33"/>
    <mergeCell ref="B39:D39"/>
    <mergeCell ref="A45:E45"/>
    <mergeCell ref="A1:E1"/>
    <mergeCell ref="A2:E2"/>
    <mergeCell ref="B4:D4"/>
    <mergeCell ref="B11:D11"/>
    <mergeCell ref="B20:D20"/>
  </mergeCells>
  <dataValidations count="2">
    <dataValidation type="list" sqref="C16" xr:uid="{00000000-0002-0000-0100-000000000000}">
      <formula1>"الجمعة-السبت,الجمعة فقط,السبت-الأحد,الجمعة-الأحد"</formula1>
      <formula2>0</formula2>
    </dataValidation>
    <dataValidation type="list" sqref="C23" xr:uid="{00000000-0002-0000-0100-000001000000}">
      <formula1>"نعم,لا"</formula1>
      <formula2>0</formula2>
    </dataValidation>
  </dataValidations>
  <printOptions horizontalCentered="1"/>
  <pageMargins left="0.75" right="0.75" top="1" bottom="1" header="0.5" footer="0.5"/>
  <pageSetup fitToHeight="0" orientation="portrait" horizontalDpi="300" verticalDpi="300"/>
  <headerFooter>
    <oddHeader>&amp;C&amp;9 نظام متابعة الحضور والانصراف — السعودية</oddHeader>
    <oddFooter>&amp;L&amp;8 نظام العمل السعودي وتعديلاته النافذة 19/02/2025&amp;R&amp;P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5"/>
  <sheetViews>
    <sheetView showGridLines="0" rightToLeft="1" zoomScaleNormal="100" workbookViewId="0">
      <selection activeCell="N5" sqref="N5"/>
    </sheetView>
  </sheetViews>
  <sheetFormatPr defaultColWidth="8.6328125" defaultRowHeight="14.5" x14ac:dyDescent="0.35"/>
  <cols>
    <col min="1" max="1" width="3" customWidth="1"/>
    <col min="2" max="2" width="10" customWidth="1"/>
    <col min="3" max="3" width="34" customWidth="1"/>
    <col min="4" max="4" width="16" customWidth="1"/>
    <col min="5" max="5" width="12" customWidth="1"/>
    <col min="6" max="6" width="16" customWidth="1"/>
    <col min="7" max="7" width="40" customWidth="1"/>
  </cols>
  <sheetData>
    <row r="1" spans="1:7" ht="30" customHeight="1" x14ac:dyDescent="0.35">
      <c r="A1" s="14" t="s">
        <v>129</v>
      </c>
      <c r="B1" s="14"/>
      <c r="C1" s="14"/>
      <c r="D1" s="14"/>
      <c r="E1" s="14"/>
      <c r="F1" s="14"/>
      <c r="G1" s="14"/>
    </row>
    <row r="2" spans="1:7" ht="18" customHeight="1" x14ac:dyDescent="0.35">
      <c r="A2" s="13" t="s">
        <v>130</v>
      </c>
      <c r="B2" s="13"/>
      <c r="C2" s="13"/>
      <c r="D2" s="13"/>
      <c r="E2" s="13"/>
      <c r="F2" s="13"/>
      <c r="G2" s="13"/>
    </row>
    <row r="4" spans="1:7" ht="30" customHeight="1" x14ac:dyDescent="0.35">
      <c r="B4" s="15" t="s">
        <v>131</v>
      </c>
      <c r="C4" s="15" t="s">
        <v>132</v>
      </c>
      <c r="D4" s="15" t="s">
        <v>133</v>
      </c>
      <c r="E4" s="15" t="s">
        <v>134</v>
      </c>
      <c r="F4" s="15" t="s">
        <v>135</v>
      </c>
      <c r="G4" s="15" t="s">
        <v>136</v>
      </c>
    </row>
    <row r="5" spans="1:7" ht="18.75" customHeight="1" x14ac:dyDescent="0.35">
      <c r="B5" s="38" t="s">
        <v>137</v>
      </c>
      <c r="C5" s="17" t="s">
        <v>138</v>
      </c>
      <c r="D5" s="18" t="s">
        <v>139</v>
      </c>
      <c r="E5" s="39">
        <v>1</v>
      </c>
      <c r="F5" s="18" t="s">
        <v>140</v>
      </c>
      <c r="G5" s="17" t="s">
        <v>141</v>
      </c>
    </row>
    <row r="6" spans="1:7" ht="18.75" customHeight="1" x14ac:dyDescent="0.35">
      <c r="B6" s="40" t="s">
        <v>142</v>
      </c>
      <c r="C6" s="17" t="s">
        <v>143</v>
      </c>
      <c r="D6" s="18" t="s">
        <v>143</v>
      </c>
      <c r="E6" s="39">
        <v>0.5</v>
      </c>
      <c r="F6" s="18" t="s">
        <v>140</v>
      </c>
      <c r="G6" s="17" t="s">
        <v>144</v>
      </c>
    </row>
    <row r="7" spans="1:7" ht="18.75" customHeight="1" x14ac:dyDescent="0.35">
      <c r="B7" s="41" t="s">
        <v>145</v>
      </c>
      <c r="C7" s="17" t="s">
        <v>146</v>
      </c>
      <c r="D7" s="18" t="s">
        <v>98</v>
      </c>
      <c r="E7" s="39">
        <v>0</v>
      </c>
      <c r="F7" s="18" t="s">
        <v>147</v>
      </c>
      <c r="G7" s="17" t="s">
        <v>148</v>
      </c>
    </row>
    <row r="8" spans="1:7" ht="18.75" customHeight="1" x14ac:dyDescent="0.35">
      <c r="B8" s="42" t="s">
        <v>149</v>
      </c>
      <c r="C8" s="17" t="s">
        <v>150</v>
      </c>
      <c r="D8" s="18" t="s">
        <v>140</v>
      </c>
      <c r="E8" s="39">
        <v>1</v>
      </c>
      <c r="F8" s="18" t="s">
        <v>151</v>
      </c>
      <c r="G8" s="17" t="s">
        <v>152</v>
      </c>
    </row>
    <row r="9" spans="1:7" ht="18.75" customHeight="1" x14ac:dyDescent="0.35">
      <c r="B9" s="43" t="s">
        <v>153</v>
      </c>
      <c r="C9" s="17" t="s">
        <v>154</v>
      </c>
      <c r="D9" s="18" t="s">
        <v>140</v>
      </c>
      <c r="E9" s="39">
        <v>0</v>
      </c>
      <c r="F9" s="18" t="s">
        <v>140</v>
      </c>
      <c r="G9" s="17" t="s">
        <v>155</v>
      </c>
    </row>
    <row r="10" spans="1:7" ht="18.75" customHeight="1" x14ac:dyDescent="0.35">
      <c r="B10" s="40" t="s">
        <v>156</v>
      </c>
      <c r="C10" s="17" t="s">
        <v>157</v>
      </c>
      <c r="D10" s="18" t="s">
        <v>140</v>
      </c>
      <c r="E10" s="39">
        <v>1</v>
      </c>
      <c r="F10" s="18" t="s">
        <v>158</v>
      </c>
      <c r="G10" s="17" t="s">
        <v>159</v>
      </c>
    </row>
    <row r="11" spans="1:7" ht="18.75" customHeight="1" x14ac:dyDescent="0.35">
      <c r="B11" s="40" t="s">
        <v>160</v>
      </c>
      <c r="C11" s="17" t="s">
        <v>161</v>
      </c>
      <c r="D11" s="18" t="s">
        <v>140</v>
      </c>
      <c r="E11" s="39">
        <v>0.75</v>
      </c>
      <c r="F11" s="18" t="s">
        <v>158</v>
      </c>
      <c r="G11" s="17" t="s">
        <v>162</v>
      </c>
    </row>
    <row r="12" spans="1:7" ht="18.75" customHeight="1" x14ac:dyDescent="0.35">
      <c r="B12" s="41" t="s">
        <v>163</v>
      </c>
      <c r="C12" s="17" t="s">
        <v>164</v>
      </c>
      <c r="D12" s="18" t="s">
        <v>140</v>
      </c>
      <c r="E12" s="39">
        <v>0</v>
      </c>
      <c r="F12" s="18" t="s">
        <v>158</v>
      </c>
      <c r="G12" s="17" t="s">
        <v>165</v>
      </c>
    </row>
    <row r="13" spans="1:7" ht="18.75" customHeight="1" x14ac:dyDescent="0.35">
      <c r="B13" s="44" t="s">
        <v>166</v>
      </c>
      <c r="C13" s="17" t="s">
        <v>167</v>
      </c>
      <c r="D13" s="18" t="s">
        <v>140</v>
      </c>
      <c r="E13" s="39">
        <v>1</v>
      </c>
      <c r="F13" s="18" t="s">
        <v>140</v>
      </c>
      <c r="G13" s="17" t="s">
        <v>168</v>
      </c>
    </row>
    <row r="14" spans="1:7" ht="18.75" customHeight="1" x14ac:dyDescent="0.35">
      <c r="B14" s="43" t="s">
        <v>169</v>
      </c>
      <c r="C14" s="17" t="s">
        <v>170</v>
      </c>
      <c r="D14" s="18" t="s">
        <v>140</v>
      </c>
      <c r="E14" s="39">
        <v>1</v>
      </c>
      <c r="F14" s="18" t="s">
        <v>140</v>
      </c>
      <c r="G14" s="17" t="s">
        <v>171</v>
      </c>
    </row>
    <row r="15" spans="1:7" ht="18.75" customHeight="1" x14ac:dyDescent="0.35">
      <c r="B15" s="38" t="s">
        <v>172</v>
      </c>
      <c r="C15" s="17" t="s">
        <v>173</v>
      </c>
      <c r="D15" s="18" t="s">
        <v>139</v>
      </c>
      <c r="E15" s="39">
        <v>1</v>
      </c>
      <c r="F15" s="18" t="s">
        <v>140</v>
      </c>
      <c r="G15" s="17" t="s">
        <v>174</v>
      </c>
    </row>
    <row r="16" spans="1:7" ht="18.75" customHeight="1" x14ac:dyDescent="0.35">
      <c r="B16" s="40" t="s">
        <v>175</v>
      </c>
      <c r="C16" s="17" t="s">
        <v>176</v>
      </c>
      <c r="D16" s="18" t="s">
        <v>140</v>
      </c>
      <c r="E16" s="39">
        <v>1</v>
      </c>
      <c r="F16" s="18" t="s">
        <v>140</v>
      </c>
      <c r="G16" s="17" t="s">
        <v>177</v>
      </c>
    </row>
    <row r="17" spans="1:7" ht="18.75" customHeight="1" x14ac:dyDescent="0.35">
      <c r="B17" s="42" t="s">
        <v>178</v>
      </c>
      <c r="C17" s="17" t="s">
        <v>179</v>
      </c>
      <c r="D17" s="18" t="s">
        <v>140</v>
      </c>
      <c r="E17" s="39">
        <v>1</v>
      </c>
      <c r="F17" s="18" t="s">
        <v>180</v>
      </c>
      <c r="G17" s="17" t="s">
        <v>179</v>
      </c>
    </row>
    <row r="18" spans="1:7" ht="18.75" customHeight="1" x14ac:dyDescent="0.35">
      <c r="B18" s="42" t="s">
        <v>181</v>
      </c>
      <c r="C18" s="17" t="s">
        <v>182</v>
      </c>
      <c r="D18" s="18" t="s">
        <v>140</v>
      </c>
      <c r="E18" s="39">
        <v>1</v>
      </c>
      <c r="F18" s="18" t="s">
        <v>183</v>
      </c>
      <c r="G18" s="17" t="s">
        <v>182</v>
      </c>
    </row>
    <row r="19" spans="1:7" ht="18.75" customHeight="1" x14ac:dyDescent="0.35">
      <c r="B19" s="42" t="s">
        <v>184</v>
      </c>
      <c r="C19" s="17" t="s">
        <v>185</v>
      </c>
      <c r="D19" s="18" t="s">
        <v>140</v>
      </c>
      <c r="E19" s="39">
        <v>1</v>
      </c>
      <c r="F19" s="18" t="s">
        <v>183</v>
      </c>
      <c r="G19" s="17" t="s">
        <v>185</v>
      </c>
    </row>
    <row r="20" spans="1:7" ht="18.75" customHeight="1" x14ac:dyDescent="0.35">
      <c r="B20" s="42" t="s">
        <v>186</v>
      </c>
      <c r="C20" s="17" t="s">
        <v>187</v>
      </c>
      <c r="D20" s="18" t="s">
        <v>140</v>
      </c>
      <c r="E20" s="39">
        <v>1</v>
      </c>
      <c r="F20" s="18" t="s">
        <v>188</v>
      </c>
      <c r="G20" s="17" t="s">
        <v>189</v>
      </c>
    </row>
    <row r="21" spans="1:7" ht="18.75" customHeight="1" x14ac:dyDescent="0.35">
      <c r="B21" s="42" t="s">
        <v>190</v>
      </c>
      <c r="C21" s="17" t="s">
        <v>191</v>
      </c>
      <c r="D21" s="18" t="s">
        <v>140</v>
      </c>
      <c r="E21" s="39">
        <v>1</v>
      </c>
      <c r="F21" s="18" t="s">
        <v>140</v>
      </c>
      <c r="G21" s="17" t="s">
        <v>192</v>
      </c>
    </row>
    <row r="22" spans="1:7" ht="18.75" customHeight="1" x14ac:dyDescent="0.35">
      <c r="B22" s="42" t="s">
        <v>193</v>
      </c>
      <c r="C22" s="17" t="s">
        <v>194</v>
      </c>
      <c r="D22" s="18" t="s">
        <v>140</v>
      </c>
      <c r="E22" s="39">
        <v>1</v>
      </c>
      <c r="F22" s="18" t="s">
        <v>194</v>
      </c>
      <c r="G22" s="17" t="s">
        <v>195</v>
      </c>
    </row>
    <row r="24" spans="1:7" ht="25.5" customHeight="1" x14ac:dyDescent="0.35">
      <c r="A24" s="7" t="s">
        <v>196</v>
      </c>
      <c r="B24" s="7"/>
      <c r="C24" s="7"/>
      <c r="D24" s="7"/>
      <c r="E24" s="7"/>
      <c r="F24" s="7"/>
      <c r="G24" s="7"/>
    </row>
    <row r="25" spans="1:7" ht="25.5" customHeight="1" x14ac:dyDescent="0.35">
      <c r="A25" s="9" t="s">
        <v>197</v>
      </c>
      <c r="B25" s="9"/>
      <c r="C25" s="9"/>
      <c r="D25" s="9"/>
      <c r="E25" s="9"/>
      <c r="F25" s="9"/>
      <c r="G25" s="9"/>
    </row>
  </sheetData>
  <sheetProtection formatCells="0" formatColumns="0" formatRows="0" sort="0" autoFilter="0"/>
  <mergeCells count="4">
    <mergeCell ref="A1:G1"/>
    <mergeCell ref="A2:G2"/>
    <mergeCell ref="A24:G24"/>
    <mergeCell ref="A25:G25"/>
  </mergeCells>
  <printOptions horizontalCentered="1"/>
  <pageMargins left="0.75" right="0.75" top="1" bottom="1" header="0.5" footer="0.5"/>
  <pageSetup fitToHeight="0" orientation="portrait" horizontalDpi="300" verticalDpi="300"/>
  <headerFooter>
    <oddHeader>&amp;C&amp;9 نظام متابعة الحضور والانصراف — السعودية</oddHeader>
    <oddFooter>&amp;L&amp;8 نظام العمل السعودي وتعديلاته النافذة 19/02/2025&amp;R&amp;P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8"/>
  <sheetViews>
    <sheetView showGridLines="0" rightToLeft="1" zoomScaleNormal="100" workbookViewId="0">
      <pane xSplit="2" ySplit="5" topLeftCell="C6" activePane="bottomRight" state="frozen"/>
      <selection pane="topRight" activeCell="C1" sqref="C1"/>
      <selection pane="bottomLeft" activeCell="A6" sqref="A6"/>
      <selection pane="bottomRight" activeCell="R1" sqref="R1"/>
    </sheetView>
  </sheetViews>
  <sheetFormatPr defaultColWidth="8.6328125" defaultRowHeight="14.5" x14ac:dyDescent="0.35"/>
  <cols>
    <col min="1" max="1" width="5" customWidth="1"/>
    <col min="2" max="2" width="14" customWidth="1"/>
    <col min="3" max="3" width="26" customWidth="1"/>
    <col min="4" max="5" width="17" customWidth="1"/>
    <col min="6" max="6" width="13" customWidth="1"/>
    <col min="7" max="7" width="11" customWidth="1"/>
    <col min="8" max="8" width="15" customWidth="1"/>
    <col min="9" max="9" width="12" customWidth="1"/>
    <col min="10" max="12" width="11" customWidth="1"/>
    <col min="13" max="14" width="12" customWidth="1"/>
    <col min="15" max="15" width="10" customWidth="1"/>
  </cols>
  <sheetData>
    <row r="1" spans="1:15" ht="30" customHeight="1" x14ac:dyDescent="0.35">
      <c r="A1" s="14" t="s">
        <v>198</v>
      </c>
      <c r="B1" s="14"/>
      <c r="C1" s="14"/>
      <c r="D1" s="14"/>
      <c r="E1" s="14"/>
      <c r="F1" s="14"/>
      <c r="G1" s="14"/>
      <c r="H1" s="14"/>
      <c r="I1" s="14"/>
      <c r="J1" s="14"/>
      <c r="K1" s="14"/>
      <c r="L1" s="14"/>
      <c r="M1" s="14"/>
      <c r="N1" s="14"/>
      <c r="O1" s="14"/>
    </row>
    <row r="2" spans="1:15" ht="18" customHeight="1" x14ac:dyDescent="0.35">
      <c r="A2" s="13" t="s">
        <v>199</v>
      </c>
      <c r="B2" s="13"/>
      <c r="C2" s="13"/>
      <c r="D2" s="13"/>
      <c r="E2" s="13"/>
      <c r="F2" s="13"/>
      <c r="G2" s="13"/>
      <c r="H2" s="13"/>
      <c r="I2" s="13"/>
      <c r="J2" s="13"/>
      <c r="K2" s="13"/>
      <c r="L2" s="13"/>
      <c r="M2" s="13"/>
      <c r="N2" s="13"/>
      <c r="O2" s="13"/>
    </row>
    <row r="5" spans="1:15" ht="30" customHeight="1" x14ac:dyDescent="0.35">
      <c r="A5" s="15" t="s">
        <v>200</v>
      </c>
      <c r="B5" s="15" t="s">
        <v>201</v>
      </c>
      <c r="C5" s="15" t="s">
        <v>202</v>
      </c>
      <c r="D5" s="15" t="s">
        <v>203</v>
      </c>
      <c r="E5" s="15" t="s">
        <v>204</v>
      </c>
      <c r="F5" s="15" t="s">
        <v>205</v>
      </c>
      <c r="G5" s="15" t="s">
        <v>206</v>
      </c>
      <c r="H5" s="15" t="s">
        <v>207</v>
      </c>
      <c r="I5" s="15" t="s">
        <v>208</v>
      </c>
      <c r="J5" s="15" t="s">
        <v>209</v>
      </c>
      <c r="K5" s="15" t="s">
        <v>210</v>
      </c>
      <c r="L5" s="15" t="s">
        <v>211</v>
      </c>
      <c r="M5" s="15" t="s">
        <v>212</v>
      </c>
      <c r="N5" s="15" t="s">
        <v>213</v>
      </c>
      <c r="O5" s="15" t="s">
        <v>214</v>
      </c>
    </row>
    <row r="6" spans="1:15" ht="18" customHeight="1" x14ac:dyDescent="0.35">
      <c r="A6" s="18">
        <v>1</v>
      </c>
      <c r="B6" s="30" t="s">
        <v>215</v>
      </c>
      <c r="C6" s="45" t="s">
        <v>216</v>
      </c>
      <c r="D6" s="30" t="s">
        <v>217</v>
      </c>
      <c r="E6" s="30" t="s">
        <v>218</v>
      </c>
      <c r="F6" s="31">
        <v>41699</v>
      </c>
      <c r="G6" s="46">
        <f>IF($F6="","",ROUND((EOMONTH(DATE(الإعدادات!$C$12,الإعدادات!$C$13,1),0)-$F6)/365.25,1))</f>
        <v>12.5</v>
      </c>
      <c r="H6" s="30" t="s">
        <v>236</v>
      </c>
      <c r="I6" s="47">
        <v>9500</v>
      </c>
      <c r="J6" s="48">
        <f>IF($I6="","",ROUND($I6/الإعدادات!$C$25,2))</f>
        <v>316.67</v>
      </c>
      <c r="K6" s="48">
        <f>IF($I6="","",ROUND($I6/الإعدادات!$C$26,2))</f>
        <v>45.67</v>
      </c>
      <c r="L6" s="30" t="s">
        <v>220</v>
      </c>
      <c r="M6" s="49">
        <v>0.33333333333333298</v>
      </c>
      <c r="N6" s="49">
        <v>0.70833333333333304</v>
      </c>
      <c r="O6" s="30" t="s">
        <v>221</v>
      </c>
    </row>
    <row r="7" spans="1:15" ht="18" customHeight="1" x14ac:dyDescent="0.35">
      <c r="A7" s="18">
        <v>2</v>
      </c>
      <c r="B7" s="30" t="s">
        <v>222</v>
      </c>
      <c r="C7" s="45" t="s">
        <v>223</v>
      </c>
      <c r="D7" s="30" t="s">
        <v>217</v>
      </c>
      <c r="E7" s="30" t="s">
        <v>218</v>
      </c>
      <c r="F7" s="31">
        <v>42628</v>
      </c>
      <c r="G7" s="46">
        <f>IF($F7="","",ROUND((EOMONTH(DATE(الإعدادات!$C$12,الإعدادات!$C$13,1),0)-$F7)/365.25,1))</f>
        <v>10</v>
      </c>
      <c r="H7" s="30" t="s">
        <v>219</v>
      </c>
      <c r="I7" s="47">
        <v>11000</v>
      </c>
      <c r="J7" s="48">
        <f>IF($I7="","",ROUND($I7/الإعدادات!$C$25,2))</f>
        <v>366.67</v>
      </c>
      <c r="K7" s="48">
        <f>IF($I7="","",ROUND($I7/الإعدادات!$C$26,2))</f>
        <v>52.88</v>
      </c>
      <c r="L7" s="30" t="s">
        <v>220</v>
      </c>
      <c r="M7" s="49">
        <v>0.33333333333333298</v>
      </c>
      <c r="N7" s="49">
        <v>0.70833333333333304</v>
      </c>
      <c r="O7" s="30" t="s">
        <v>221</v>
      </c>
    </row>
    <row r="8" spans="1:15" ht="18" customHeight="1" x14ac:dyDescent="0.35">
      <c r="A8" s="18">
        <v>3</v>
      </c>
      <c r="B8" s="30" t="s">
        <v>224</v>
      </c>
      <c r="C8" s="45" t="s">
        <v>225</v>
      </c>
      <c r="D8" s="30" t="s">
        <v>217</v>
      </c>
      <c r="E8" s="30" t="s">
        <v>218</v>
      </c>
      <c r="F8" s="31">
        <v>43485</v>
      </c>
      <c r="G8" s="46">
        <f>IF($F8="","",ROUND((EOMONTH(DATE(الإعدادات!$C$12,الإعدادات!$C$13,1),0)-$F8)/365.25,1))</f>
        <v>7.6</v>
      </c>
      <c r="H8" s="30" t="s">
        <v>219</v>
      </c>
      <c r="I8" s="47">
        <v>8200</v>
      </c>
      <c r="J8" s="48">
        <f>IF($I8="","",ROUND($I8/الإعدادات!$C$25,2))</f>
        <v>273.33</v>
      </c>
      <c r="K8" s="48">
        <f>IF($I8="","",ROUND($I8/الإعدادات!$C$26,2))</f>
        <v>39.42</v>
      </c>
      <c r="L8" s="30" t="s">
        <v>220</v>
      </c>
      <c r="M8" s="49">
        <v>0.33333333333333298</v>
      </c>
      <c r="N8" s="49">
        <v>0.70833333333333304</v>
      </c>
      <c r="O8" s="30" t="s">
        <v>221</v>
      </c>
    </row>
    <row r="9" spans="1:15" ht="18" customHeight="1" x14ac:dyDescent="0.35">
      <c r="A9" s="18">
        <v>4</v>
      </c>
      <c r="B9" s="30" t="s">
        <v>226</v>
      </c>
      <c r="C9" s="45" t="s">
        <v>218</v>
      </c>
      <c r="D9" s="30" t="s">
        <v>217</v>
      </c>
      <c r="E9" s="30" t="s">
        <v>227</v>
      </c>
      <c r="F9" s="31">
        <v>41061</v>
      </c>
      <c r="G9" s="46">
        <f>IF($F9="","",ROUND((EOMONTH(DATE(الإعدادات!$C$12,الإعدادات!$C$13,1),0)-$F9)/365.25,1))</f>
        <v>14.2</v>
      </c>
      <c r="H9" s="30" t="s">
        <v>219</v>
      </c>
      <c r="I9" s="47">
        <v>16000</v>
      </c>
      <c r="J9" s="48">
        <f>IF($I9="","",ROUND($I9/الإعدادات!$C$25,2))</f>
        <v>533.33000000000004</v>
      </c>
      <c r="K9" s="48">
        <f>IF($I9="","",ROUND($I9/الإعدادات!$C$26,2))</f>
        <v>76.92</v>
      </c>
      <c r="L9" s="30" t="s">
        <v>220</v>
      </c>
      <c r="M9" s="49">
        <v>0.33333333333333298</v>
      </c>
      <c r="N9" s="49">
        <v>0.70833333333333304</v>
      </c>
      <c r="O9" s="30" t="s">
        <v>221</v>
      </c>
    </row>
    <row r="10" spans="1:15" ht="18" customHeight="1" x14ac:dyDescent="0.35">
      <c r="A10" s="18">
        <v>5</v>
      </c>
      <c r="B10" s="30" t="s">
        <v>228</v>
      </c>
      <c r="C10" s="45" t="s">
        <v>229</v>
      </c>
      <c r="D10" s="30" t="s">
        <v>230</v>
      </c>
      <c r="E10" s="30" t="s">
        <v>231</v>
      </c>
      <c r="F10" s="31">
        <v>44237</v>
      </c>
      <c r="G10" s="46">
        <f>IF($F10="","",ROUND((EOMONTH(DATE(الإعدادات!$C$12,الإعدادات!$C$13,1),0)-$F10)/365.25,1))</f>
        <v>5.6</v>
      </c>
      <c r="H10" s="30" t="s">
        <v>219</v>
      </c>
      <c r="I10" s="47">
        <v>7800</v>
      </c>
      <c r="J10" s="48">
        <f>IF($I10="","",ROUND($I10/الإعدادات!$C$25,2))</f>
        <v>260</v>
      </c>
      <c r="K10" s="48">
        <f>IF($I10="","",ROUND($I10/الإعدادات!$C$26,2))</f>
        <v>37.5</v>
      </c>
      <c r="L10" s="30" t="s">
        <v>220</v>
      </c>
      <c r="M10" s="49">
        <v>0.33333333333333298</v>
      </c>
      <c r="N10" s="49">
        <v>0.70833333333333304</v>
      </c>
      <c r="O10" s="30" t="s">
        <v>221</v>
      </c>
    </row>
    <row r="11" spans="1:15" ht="18" customHeight="1" x14ac:dyDescent="0.35">
      <c r="A11" s="18">
        <v>6</v>
      </c>
      <c r="B11" s="30" t="s">
        <v>232</v>
      </c>
      <c r="C11" s="45" t="s">
        <v>233</v>
      </c>
      <c r="D11" s="30" t="s">
        <v>230</v>
      </c>
      <c r="E11" s="30" t="s">
        <v>231</v>
      </c>
      <c r="F11" s="31">
        <v>43409</v>
      </c>
      <c r="G11" s="46">
        <f>IF($F11="","",ROUND((EOMONTH(DATE(الإعدادات!$C$12,الإعدادات!$C$13,1),0)-$F11)/365.25,1))</f>
        <v>7.8</v>
      </c>
      <c r="H11" s="30" t="s">
        <v>219</v>
      </c>
      <c r="I11" s="47">
        <v>9200</v>
      </c>
      <c r="J11" s="48">
        <f>IF($I11="","",ROUND($I11/الإعدادات!$C$25,2))</f>
        <v>306.67</v>
      </c>
      <c r="K11" s="48">
        <f>IF($I11="","",ROUND($I11/الإعدادات!$C$26,2))</f>
        <v>44.23</v>
      </c>
      <c r="L11" s="30" t="s">
        <v>220</v>
      </c>
      <c r="M11" s="49">
        <v>0.33333333333333298</v>
      </c>
      <c r="N11" s="49">
        <v>0.70833333333333304</v>
      </c>
      <c r="O11" s="30" t="s">
        <v>221</v>
      </c>
    </row>
    <row r="12" spans="1:15" ht="18" customHeight="1" x14ac:dyDescent="0.35">
      <c r="A12" s="18">
        <v>7</v>
      </c>
      <c r="B12" s="30" t="s">
        <v>234</v>
      </c>
      <c r="C12" s="45" t="s">
        <v>235</v>
      </c>
      <c r="D12" s="30" t="s">
        <v>230</v>
      </c>
      <c r="E12" s="30" t="s">
        <v>231</v>
      </c>
      <c r="F12" s="31">
        <v>45017</v>
      </c>
      <c r="G12" s="46">
        <f>IF($F12="","",ROUND((EOMONTH(DATE(الإعدادات!$C$12,الإعدادات!$C$13,1),0)-$F12)/365.25,1))</f>
        <v>3.4</v>
      </c>
      <c r="H12" s="30" t="s">
        <v>236</v>
      </c>
      <c r="I12" s="47">
        <v>6500</v>
      </c>
      <c r="J12" s="48">
        <f>IF($I12="","",ROUND($I12/الإعدادات!$C$25,2))</f>
        <v>216.67</v>
      </c>
      <c r="K12" s="48">
        <f>IF($I12="","",ROUND($I12/الإعدادات!$C$26,2))</f>
        <v>31.25</v>
      </c>
      <c r="L12" s="30" t="s">
        <v>220</v>
      </c>
      <c r="M12" s="49">
        <v>0.33333333333333298</v>
      </c>
      <c r="N12" s="49">
        <v>0.70833333333333304</v>
      </c>
      <c r="O12" s="30" t="s">
        <v>221</v>
      </c>
    </row>
    <row r="13" spans="1:15" ht="18" customHeight="1" x14ac:dyDescent="0.35">
      <c r="A13" s="18">
        <v>8</v>
      </c>
      <c r="B13" s="30" t="s">
        <v>237</v>
      </c>
      <c r="C13" s="45" t="s">
        <v>231</v>
      </c>
      <c r="D13" s="30" t="s">
        <v>230</v>
      </c>
      <c r="E13" s="30" t="s">
        <v>227</v>
      </c>
      <c r="F13" s="31">
        <v>42228</v>
      </c>
      <c r="G13" s="46">
        <f>IF($F13="","",ROUND((EOMONTH(DATE(الإعدادات!$C$12,الإعدادات!$C$13,1),0)-$F13)/365.25,1))</f>
        <v>11.1</v>
      </c>
      <c r="H13" s="30" t="s">
        <v>219</v>
      </c>
      <c r="I13" s="47">
        <v>14500</v>
      </c>
      <c r="J13" s="48">
        <f>IF($I13="","",ROUND($I13/الإعدادات!$C$25,2))</f>
        <v>483.33</v>
      </c>
      <c r="K13" s="48">
        <f>IF($I13="","",ROUND($I13/الإعدادات!$C$26,2))</f>
        <v>69.709999999999994</v>
      </c>
      <c r="L13" s="30" t="s">
        <v>220</v>
      </c>
      <c r="M13" s="49">
        <v>0.33333333333333298</v>
      </c>
      <c r="N13" s="49">
        <v>0.70833333333333304</v>
      </c>
      <c r="O13" s="30" t="s">
        <v>221</v>
      </c>
    </row>
    <row r="14" spans="1:15" ht="18" customHeight="1" x14ac:dyDescent="0.35">
      <c r="A14" s="18">
        <v>9</v>
      </c>
      <c r="B14" s="30" t="s">
        <v>238</v>
      </c>
      <c r="C14" s="45" t="s">
        <v>239</v>
      </c>
      <c r="D14" s="30" t="s">
        <v>240</v>
      </c>
      <c r="E14" s="30" t="s">
        <v>241</v>
      </c>
      <c r="F14" s="31">
        <v>42877</v>
      </c>
      <c r="G14" s="46">
        <f>IF($F14="","",ROUND((EOMONTH(DATE(الإعدادات!$C$12,الإعدادات!$C$13,1),0)-$F14)/365.25,1))</f>
        <v>9.3000000000000007</v>
      </c>
      <c r="H14" s="30" t="s">
        <v>219</v>
      </c>
      <c r="I14" s="47">
        <v>7200</v>
      </c>
      <c r="J14" s="48">
        <f>IF($I14="","",ROUND($I14/الإعدادات!$C$25,2))</f>
        <v>240</v>
      </c>
      <c r="K14" s="48">
        <f>IF($I14="","",ROUND($I14/الإعدادات!$C$26,2))</f>
        <v>34.619999999999997</v>
      </c>
      <c r="L14" s="30" t="s">
        <v>220</v>
      </c>
      <c r="M14" s="49">
        <v>0.29166666666666702</v>
      </c>
      <c r="N14" s="49">
        <v>0.66666666666666696</v>
      </c>
      <c r="O14" s="30" t="s">
        <v>221</v>
      </c>
    </row>
    <row r="15" spans="1:15" ht="18" customHeight="1" x14ac:dyDescent="0.35">
      <c r="A15" s="18">
        <v>10</v>
      </c>
      <c r="B15" s="30" t="s">
        <v>242</v>
      </c>
      <c r="C15" s="45" t="s">
        <v>241</v>
      </c>
      <c r="D15" s="30" t="s">
        <v>240</v>
      </c>
      <c r="E15" s="30" t="s">
        <v>227</v>
      </c>
      <c r="F15" s="31">
        <v>41548</v>
      </c>
      <c r="G15" s="46">
        <f>IF($F15="","",ROUND((EOMONTH(DATE(الإعدادات!$C$12,الإعدادات!$C$13,1),0)-$F15)/365.25,1))</f>
        <v>12.9</v>
      </c>
      <c r="H15" s="30" t="s">
        <v>219</v>
      </c>
      <c r="I15" s="47">
        <v>15000</v>
      </c>
      <c r="J15" s="48">
        <f>IF($I15="","",ROUND($I15/الإعدادات!$C$25,2))</f>
        <v>500</v>
      </c>
      <c r="K15" s="48">
        <f>IF($I15="","",ROUND($I15/الإعدادات!$C$26,2))</f>
        <v>72.12</v>
      </c>
      <c r="L15" s="30" t="s">
        <v>220</v>
      </c>
      <c r="M15" s="49">
        <v>0.29166666666666702</v>
      </c>
      <c r="N15" s="49">
        <v>0.66666666666666696</v>
      </c>
      <c r="O15" s="30" t="s">
        <v>221</v>
      </c>
    </row>
    <row r="16" spans="1:15" ht="18" customHeight="1" x14ac:dyDescent="0.35">
      <c r="A16" s="18">
        <v>11</v>
      </c>
      <c r="B16" s="30" t="s">
        <v>243</v>
      </c>
      <c r="C16" s="45" t="s">
        <v>244</v>
      </c>
      <c r="D16" s="30" t="s">
        <v>240</v>
      </c>
      <c r="E16" s="30" t="s">
        <v>241</v>
      </c>
      <c r="F16" s="31">
        <v>44635</v>
      </c>
      <c r="G16" s="46">
        <f>IF($F16="","",ROUND((EOMONTH(DATE(الإعدادات!$C$12,الإعدادات!$C$13,1),0)-$F16)/365.25,1))</f>
        <v>4.5</v>
      </c>
      <c r="H16" s="30" t="s">
        <v>219</v>
      </c>
      <c r="I16" s="47">
        <v>6800</v>
      </c>
      <c r="J16" s="48">
        <f>IF($I16="","",ROUND($I16/الإعدادات!$C$25,2))</f>
        <v>226.67</v>
      </c>
      <c r="K16" s="48">
        <f>IF($I16="","",ROUND($I16/الإعدادات!$C$26,2))</f>
        <v>32.69</v>
      </c>
      <c r="L16" s="30" t="s">
        <v>220</v>
      </c>
      <c r="M16" s="49">
        <v>0.29166666666666702</v>
      </c>
      <c r="N16" s="49">
        <v>0.66666666666666696</v>
      </c>
      <c r="O16" s="30" t="s">
        <v>221</v>
      </c>
    </row>
    <row r="17" spans="1:15" ht="18" customHeight="1" x14ac:dyDescent="0.35">
      <c r="A17" s="18">
        <v>12</v>
      </c>
      <c r="B17" s="30" t="s">
        <v>245</v>
      </c>
      <c r="C17" s="45" t="s">
        <v>246</v>
      </c>
      <c r="D17" s="30" t="s">
        <v>240</v>
      </c>
      <c r="E17" s="30" t="s">
        <v>241</v>
      </c>
      <c r="F17" s="31">
        <v>44013</v>
      </c>
      <c r="G17" s="46">
        <f>IF($F17="","",ROUND((EOMONTH(DATE(الإعدادات!$C$12,الإعدادات!$C$13,1),0)-$F17)/365.25,1))</f>
        <v>6.2</v>
      </c>
      <c r="H17" s="30" t="s">
        <v>219</v>
      </c>
      <c r="I17" s="47">
        <v>7400</v>
      </c>
      <c r="J17" s="48">
        <f>IF($I17="","",ROUND($I17/الإعدادات!$C$25,2))</f>
        <v>246.67</v>
      </c>
      <c r="K17" s="48">
        <f>IF($I17="","",ROUND($I17/الإعدادات!$C$26,2))</f>
        <v>35.58</v>
      </c>
      <c r="L17" s="30" t="s">
        <v>220</v>
      </c>
      <c r="M17" s="49">
        <v>0.29166666666666702</v>
      </c>
      <c r="N17" s="49">
        <v>0.66666666666666696</v>
      </c>
      <c r="O17" s="30" t="s">
        <v>221</v>
      </c>
    </row>
    <row r="18" spans="1:15" ht="18" customHeight="1" x14ac:dyDescent="0.35">
      <c r="A18" s="18">
        <v>13</v>
      </c>
      <c r="B18" s="30" t="s">
        <v>247</v>
      </c>
      <c r="C18" s="45" t="s">
        <v>248</v>
      </c>
      <c r="D18" s="30" t="s">
        <v>240</v>
      </c>
      <c r="E18" s="30" t="s">
        <v>241</v>
      </c>
      <c r="F18" s="31">
        <v>45536</v>
      </c>
      <c r="G18" s="46">
        <f>IF($F18="","",ROUND((EOMONTH(DATE(الإعدادات!$C$12,الإعدادات!$C$13,1),0)-$F18)/365.25,1))</f>
        <v>2</v>
      </c>
      <c r="H18" s="30" t="s">
        <v>236</v>
      </c>
      <c r="I18" s="47">
        <v>5900</v>
      </c>
      <c r="J18" s="48">
        <f>IF($I18="","",ROUND($I18/الإعدادات!$C$25,2))</f>
        <v>196.67</v>
      </c>
      <c r="K18" s="48">
        <f>IF($I18="","",ROUND($I18/الإعدادات!$C$26,2))</f>
        <v>28.37</v>
      </c>
      <c r="L18" s="30" t="s">
        <v>220</v>
      </c>
      <c r="M18" s="49">
        <v>0.29166666666666702</v>
      </c>
      <c r="N18" s="49">
        <v>0.66666666666666696</v>
      </c>
      <c r="O18" s="30" t="s">
        <v>221</v>
      </c>
    </row>
    <row r="19" spans="1:15" ht="18" customHeight="1" x14ac:dyDescent="0.35">
      <c r="A19" s="18">
        <v>14</v>
      </c>
      <c r="B19" s="30" t="s">
        <v>249</v>
      </c>
      <c r="C19" s="45" t="s">
        <v>250</v>
      </c>
      <c r="D19" s="30" t="s">
        <v>251</v>
      </c>
      <c r="E19" s="30" t="s">
        <v>227</v>
      </c>
      <c r="F19" s="31">
        <v>43800</v>
      </c>
      <c r="G19" s="46">
        <f>IF($F19="","",ROUND((EOMONTH(DATE(الإعدادات!$C$12,الإعدادات!$C$13,1),0)-$F19)/365.25,1))</f>
        <v>6.7</v>
      </c>
      <c r="H19" s="30" t="s">
        <v>219</v>
      </c>
      <c r="I19" s="47">
        <v>10200</v>
      </c>
      <c r="J19" s="48">
        <f>IF($I19="","",ROUND($I19/الإعدادات!$C$25,2))</f>
        <v>340</v>
      </c>
      <c r="K19" s="48">
        <f>IF($I19="","",ROUND($I19/الإعدادات!$C$26,2))</f>
        <v>49.04</v>
      </c>
      <c r="L19" s="30" t="s">
        <v>220</v>
      </c>
      <c r="M19" s="49">
        <v>0.33333333333333298</v>
      </c>
      <c r="N19" s="49">
        <v>0.70833333333333304</v>
      </c>
      <c r="O19" s="30" t="s">
        <v>221</v>
      </c>
    </row>
    <row r="20" spans="1:15" ht="18" customHeight="1" x14ac:dyDescent="0.35">
      <c r="A20" s="18">
        <v>15</v>
      </c>
      <c r="B20" s="30" t="s">
        <v>252</v>
      </c>
      <c r="C20" s="45" t="s">
        <v>253</v>
      </c>
      <c r="D20" s="30" t="s">
        <v>251</v>
      </c>
      <c r="E20" s="30" t="s">
        <v>250</v>
      </c>
      <c r="F20" s="31">
        <v>45158</v>
      </c>
      <c r="G20" s="46">
        <f>IF($F20="","",ROUND((EOMONTH(DATE(الإعدادات!$C$12,الإعدادات!$C$13,1),0)-$F20)/365.25,1))</f>
        <v>3</v>
      </c>
      <c r="H20" s="30" t="s">
        <v>236</v>
      </c>
      <c r="I20" s="47">
        <v>6200</v>
      </c>
      <c r="J20" s="48">
        <f>IF($I20="","",ROUND($I20/الإعدادات!$C$25,2))</f>
        <v>206.67</v>
      </c>
      <c r="K20" s="48">
        <f>IF($I20="","",ROUND($I20/الإعدادات!$C$26,2))</f>
        <v>29.81</v>
      </c>
      <c r="L20" s="30" t="s">
        <v>220</v>
      </c>
      <c r="M20" s="49">
        <v>0.33333333333333298</v>
      </c>
      <c r="N20" s="49">
        <v>0.70833333333333304</v>
      </c>
      <c r="O20" s="30" t="s">
        <v>221</v>
      </c>
    </row>
    <row r="21" spans="1:15" ht="18" customHeight="1" x14ac:dyDescent="0.35">
      <c r="A21" s="18">
        <v>16</v>
      </c>
      <c r="B21" s="30" t="s">
        <v>254</v>
      </c>
      <c r="C21" s="45" t="s">
        <v>255</v>
      </c>
      <c r="D21" s="30" t="s">
        <v>251</v>
      </c>
      <c r="E21" s="30" t="s">
        <v>250</v>
      </c>
      <c r="F21" s="31">
        <v>45689</v>
      </c>
      <c r="G21" s="46">
        <f>IF($F21="","",ROUND((EOMONTH(DATE(الإعدادات!$C$12,الإعدادات!$C$13,1),0)-$F21)/365.25,1))</f>
        <v>1.6</v>
      </c>
      <c r="H21" s="30" t="s">
        <v>236</v>
      </c>
      <c r="I21" s="47">
        <v>5600</v>
      </c>
      <c r="J21" s="48">
        <f>IF($I21="","",ROUND($I21/الإعدادات!$C$25,2))</f>
        <v>186.67</v>
      </c>
      <c r="K21" s="48">
        <f>IF($I21="","",ROUND($I21/الإعدادات!$C$26,2))</f>
        <v>26.92</v>
      </c>
      <c r="L21" s="30" t="s">
        <v>220</v>
      </c>
      <c r="M21" s="49">
        <v>0.33333333333333298</v>
      </c>
      <c r="N21" s="49">
        <v>0.70833333333333304</v>
      </c>
      <c r="O21" s="30" t="s">
        <v>221</v>
      </c>
    </row>
    <row r="22" spans="1:15" ht="18" customHeight="1" x14ac:dyDescent="0.35">
      <c r="A22" s="18">
        <v>17</v>
      </c>
      <c r="B22" s="30" t="s">
        <v>256</v>
      </c>
      <c r="C22" s="45" t="s">
        <v>257</v>
      </c>
      <c r="D22" s="30" t="s">
        <v>258</v>
      </c>
      <c r="E22" s="30" t="s">
        <v>259</v>
      </c>
      <c r="F22" s="31">
        <v>44510</v>
      </c>
      <c r="G22" s="46">
        <f>IF($F22="","",ROUND((EOMONTH(DATE(الإعدادات!$C$12,الإعدادات!$C$13,1),0)-$F22)/365.25,1))</f>
        <v>4.8</v>
      </c>
      <c r="H22" s="30" t="s">
        <v>219</v>
      </c>
      <c r="I22" s="47">
        <v>7100</v>
      </c>
      <c r="J22" s="48">
        <f>IF($I22="","",ROUND($I22/الإعدادات!$C$25,2))</f>
        <v>236.67</v>
      </c>
      <c r="K22" s="48">
        <f>IF($I22="","",ROUND($I22/الإعدادات!$C$26,2))</f>
        <v>34.130000000000003</v>
      </c>
      <c r="L22" s="30" t="s">
        <v>220</v>
      </c>
      <c r="M22" s="49">
        <v>0.33333333333333298</v>
      </c>
      <c r="N22" s="49">
        <v>0.70833333333333304</v>
      </c>
      <c r="O22" s="30" t="s">
        <v>221</v>
      </c>
    </row>
    <row r="23" spans="1:15" ht="18" customHeight="1" x14ac:dyDescent="0.35">
      <c r="A23" s="18">
        <v>18</v>
      </c>
      <c r="B23" s="30" t="s">
        <v>260</v>
      </c>
      <c r="C23" s="45" t="s">
        <v>261</v>
      </c>
      <c r="D23" s="30" t="s">
        <v>258</v>
      </c>
      <c r="E23" s="30" t="s">
        <v>259</v>
      </c>
      <c r="F23" s="31">
        <v>43208</v>
      </c>
      <c r="G23" s="46">
        <f>IF($F23="","",ROUND((EOMONTH(DATE(الإعدادات!$C$12,الإعدادات!$C$13,1),0)-$F23)/365.25,1))</f>
        <v>8.4</v>
      </c>
      <c r="H23" s="30" t="s">
        <v>219</v>
      </c>
      <c r="I23" s="47">
        <v>8600</v>
      </c>
      <c r="J23" s="48">
        <f>IF($I23="","",ROUND($I23/الإعدادات!$C$25,2))</f>
        <v>286.67</v>
      </c>
      <c r="K23" s="48">
        <f>IF($I23="","",ROUND($I23/الإعدادات!$C$26,2))</f>
        <v>41.35</v>
      </c>
      <c r="L23" s="30" t="s">
        <v>220</v>
      </c>
      <c r="M23" s="49">
        <v>0.33333333333333298</v>
      </c>
      <c r="N23" s="49">
        <v>0.70833333333333304</v>
      </c>
      <c r="O23" s="30" t="s">
        <v>221</v>
      </c>
    </row>
    <row r="24" spans="1:15" ht="18" customHeight="1" x14ac:dyDescent="0.35">
      <c r="A24" s="18">
        <v>19</v>
      </c>
      <c r="B24" s="30" t="s">
        <v>262</v>
      </c>
      <c r="C24" s="45" t="s">
        <v>263</v>
      </c>
      <c r="D24" s="30" t="s">
        <v>258</v>
      </c>
      <c r="E24" s="30" t="s">
        <v>259</v>
      </c>
      <c r="F24" s="31">
        <v>42394</v>
      </c>
      <c r="G24" s="46">
        <f>IF($F24="","",ROUND((EOMONTH(DATE(الإعدادات!$C$12,الإعدادات!$C$13,1),0)-$F24)/365.25,1))</f>
        <v>10.6</v>
      </c>
      <c r="H24" s="30" t="s">
        <v>219</v>
      </c>
      <c r="I24" s="47">
        <v>9800</v>
      </c>
      <c r="J24" s="48">
        <f>IF($I24="","",ROUND($I24/الإعدادات!$C$25,2))</f>
        <v>326.67</v>
      </c>
      <c r="K24" s="48">
        <f>IF($I24="","",ROUND($I24/الإعدادات!$C$26,2))</f>
        <v>47.12</v>
      </c>
      <c r="L24" s="30" t="s">
        <v>220</v>
      </c>
      <c r="M24" s="49">
        <v>0.33333333333333298</v>
      </c>
      <c r="N24" s="49">
        <v>0.70833333333333304</v>
      </c>
      <c r="O24" s="30" t="s">
        <v>221</v>
      </c>
    </row>
    <row r="25" spans="1:15" ht="18" customHeight="1" x14ac:dyDescent="0.35">
      <c r="A25" s="18">
        <v>20</v>
      </c>
      <c r="B25" s="30" t="s">
        <v>264</v>
      </c>
      <c r="C25" s="45" t="s">
        <v>265</v>
      </c>
      <c r="D25" s="30" t="s">
        <v>258</v>
      </c>
      <c r="E25" s="30" t="s">
        <v>259</v>
      </c>
      <c r="F25" s="31">
        <v>45417</v>
      </c>
      <c r="G25" s="46">
        <f>IF($F25="","",ROUND((EOMONTH(DATE(الإعدادات!$C$12,الإعدادات!$C$13,1),0)-$F25)/365.25,1))</f>
        <v>2.2999999999999998</v>
      </c>
      <c r="H25" s="30" t="s">
        <v>236</v>
      </c>
      <c r="I25" s="47">
        <v>6000</v>
      </c>
      <c r="J25" s="48">
        <f>IF($I25="","",ROUND($I25/الإعدادات!$C$25,2))</f>
        <v>200</v>
      </c>
      <c r="K25" s="48">
        <f>IF($I25="","",ROUND($I25/الإعدادات!$C$26,2))</f>
        <v>28.85</v>
      </c>
      <c r="L25" s="30" t="s">
        <v>220</v>
      </c>
      <c r="M25" s="49">
        <v>0.33333333333333298</v>
      </c>
      <c r="N25" s="49">
        <v>0.70833333333333304</v>
      </c>
      <c r="O25" s="30" t="s">
        <v>221</v>
      </c>
    </row>
    <row r="26" spans="1:15" ht="18" customHeight="1" x14ac:dyDescent="0.35">
      <c r="A26" s="18">
        <v>21</v>
      </c>
      <c r="B26" s="30" t="s">
        <v>266</v>
      </c>
      <c r="C26" s="45" t="s">
        <v>267</v>
      </c>
      <c r="D26" s="30" t="s">
        <v>268</v>
      </c>
      <c r="E26" s="30" t="s">
        <v>259</v>
      </c>
      <c r="F26" s="31">
        <v>43881</v>
      </c>
      <c r="G26" s="46">
        <f>IF($F26="","",ROUND((EOMONTH(DATE(الإعدادات!$C$12,الإعدادات!$C$13,1),0)-$F26)/365.25,1))</f>
        <v>6.5</v>
      </c>
      <c r="H26" s="30" t="s">
        <v>219</v>
      </c>
      <c r="I26" s="47">
        <v>6900</v>
      </c>
      <c r="J26" s="48">
        <f>IF($I26="","",ROUND($I26/الإعدادات!$C$25,2))</f>
        <v>230</v>
      </c>
      <c r="K26" s="48">
        <f>IF($I26="","",ROUND($I26/الإعدادات!$C$26,2))</f>
        <v>33.17</v>
      </c>
      <c r="L26" s="30" t="s">
        <v>220</v>
      </c>
      <c r="M26" s="49">
        <v>0.33333333333333298</v>
      </c>
      <c r="N26" s="49">
        <v>0.70833333333333304</v>
      </c>
      <c r="O26" s="30" t="s">
        <v>221</v>
      </c>
    </row>
    <row r="27" spans="1:15" ht="18" customHeight="1" x14ac:dyDescent="0.35">
      <c r="A27" s="18">
        <v>22</v>
      </c>
      <c r="B27" s="30" t="s">
        <v>269</v>
      </c>
      <c r="C27" s="45" t="s">
        <v>259</v>
      </c>
      <c r="D27" s="30" t="s">
        <v>268</v>
      </c>
      <c r="E27" s="30" t="s">
        <v>227</v>
      </c>
      <c r="F27" s="31">
        <v>41827</v>
      </c>
      <c r="G27" s="46">
        <f>IF($F27="","",ROUND((EOMONTH(DATE(الإعدادات!$C$12,الإعدادات!$C$13,1),0)-$F27)/365.25,1))</f>
        <v>12.2</v>
      </c>
      <c r="H27" s="30" t="s">
        <v>219</v>
      </c>
      <c r="I27" s="47">
        <v>13500</v>
      </c>
      <c r="J27" s="48">
        <f>IF($I27="","",ROUND($I27/الإعدادات!$C$25,2))</f>
        <v>450</v>
      </c>
      <c r="K27" s="48">
        <f>IF($I27="","",ROUND($I27/الإعدادات!$C$26,2))</f>
        <v>64.900000000000006</v>
      </c>
      <c r="L27" s="30" t="s">
        <v>220</v>
      </c>
      <c r="M27" s="49">
        <v>0.33333333333333298</v>
      </c>
      <c r="N27" s="49">
        <v>0.70833333333333304</v>
      </c>
      <c r="O27" s="30" t="s">
        <v>221</v>
      </c>
    </row>
    <row r="28" spans="1:15" ht="18" customHeight="1" x14ac:dyDescent="0.35">
      <c r="A28" s="18">
        <v>23</v>
      </c>
      <c r="B28" s="30" t="s">
        <v>270</v>
      </c>
      <c r="C28" s="45" t="s">
        <v>271</v>
      </c>
      <c r="D28" s="30" t="s">
        <v>268</v>
      </c>
      <c r="E28" s="30" t="s">
        <v>259</v>
      </c>
      <c r="F28" s="31">
        <v>44835</v>
      </c>
      <c r="G28" s="46">
        <f>IF($F28="","",ROUND((EOMONTH(DATE(الإعدادات!$C$12,الإعدادات!$C$13,1),0)-$F28)/365.25,1))</f>
        <v>3.9</v>
      </c>
      <c r="H28" s="30" t="s">
        <v>219</v>
      </c>
      <c r="I28" s="47">
        <v>6400</v>
      </c>
      <c r="J28" s="48">
        <f>IF($I28="","",ROUND($I28/الإعدادات!$C$25,2))</f>
        <v>213.33</v>
      </c>
      <c r="K28" s="48">
        <f>IF($I28="","",ROUND($I28/الإعدادات!$C$26,2))</f>
        <v>30.77</v>
      </c>
      <c r="L28" s="30" t="s">
        <v>220</v>
      </c>
      <c r="M28" s="49">
        <v>0.33333333333333298</v>
      </c>
      <c r="N28" s="49">
        <v>0.70833333333333304</v>
      </c>
      <c r="O28" s="30" t="s">
        <v>221</v>
      </c>
    </row>
    <row r="29" spans="1:15" ht="18" customHeight="1" x14ac:dyDescent="0.35">
      <c r="A29" s="18">
        <v>24</v>
      </c>
      <c r="B29" s="30" t="s">
        <v>272</v>
      </c>
      <c r="C29" s="45" t="s">
        <v>273</v>
      </c>
      <c r="D29" s="30" t="s">
        <v>268</v>
      </c>
      <c r="E29" s="30" t="s">
        <v>259</v>
      </c>
      <c r="F29" s="31">
        <v>46037</v>
      </c>
      <c r="G29" s="46">
        <f>IF($F29="","",ROUND((EOMONTH(DATE(الإعدادات!$C$12,الإعدادات!$C$13,1),0)-$F29)/365.25,1))</f>
        <v>0.6</v>
      </c>
      <c r="H29" s="30" t="s">
        <v>274</v>
      </c>
      <c r="I29" s="47">
        <v>5500</v>
      </c>
      <c r="J29" s="48">
        <f>IF($I29="","",ROUND($I29/الإعدادات!$C$25,2))</f>
        <v>183.33</v>
      </c>
      <c r="K29" s="48">
        <f>IF($I29="","",ROUND($I29/الإعدادات!$C$26,2))</f>
        <v>26.44</v>
      </c>
      <c r="L29" s="30" t="s">
        <v>220</v>
      </c>
      <c r="M29" s="49">
        <v>0.33333333333333298</v>
      </c>
      <c r="N29" s="49">
        <v>0.70833333333333304</v>
      </c>
      <c r="O29" s="30" t="s">
        <v>221</v>
      </c>
    </row>
    <row r="30" spans="1:15" ht="18" customHeight="1" x14ac:dyDescent="0.35">
      <c r="A30" s="18">
        <v>25</v>
      </c>
      <c r="B30" s="30" t="s">
        <v>275</v>
      </c>
      <c r="C30" s="45" t="s">
        <v>276</v>
      </c>
      <c r="D30" s="30" t="s">
        <v>277</v>
      </c>
      <c r="E30" s="30" t="s">
        <v>278</v>
      </c>
      <c r="F30" s="31">
        <v>42981</v>
      </c>
      <c r="G30" s="46">
        <f>IF($F30="","",ROUND((EOMONTH(DATE(الإعدادات!$C$12,الإعدادات!$C$13,1),0)-$F30)/365.25,1))</f>
        <v>9</v>
      </c>
      <c r="H30" s="30" t="s">
        <v>219</v>
      </c>
      <c r="I30" s="47">
        <v>8900</v>
      </c>
      <c r="J30" s="48">
        <f>IF($I30="","",ROUND($I30/الإعدادات!$C$25,2))</f>
        <v>296.67</v>
      </c>
      <c r="K30" s="48">
        <f>IF($I30="","",ROUND($I30/الإعدادات!$C$26,2))</f>
        <v>42.79</v>
      </c>
      <c r="L30" s="30" t="s">
        <v>220</v>
      </c>
      <c r="M30" s="49">
        <v>0.35416666666666702</v>
      </c>
      <c r="N30" s="49">
        <v>0.72916666666666696</v>
      </c>
      <c r="O30" s="30" t="s">
        <v>221</v>
      </c>
    </row>
    <row r="31" spans="1:15" ht="18" customHeight="1" x14ac:dyDescent="0.35">
      <c r="A31" s="18">
        <v>26</v>
      </c>
      <c r="B31" s="30" t="s">
        <v>279</v>
      </c>
      <c r="C31" s="45" t="s">
        <v>278</v>
      </c>
      <c r="D31" s="30" t="s">
        <v>277</v>
      </c>
      <c r="E31" s="30" t="s">
        <v>227</v>
      </c>
      <c r="F31" s="31">
        <v>40617</v>
      </c>
      <c r="G31" s="46">
        <f>IF($F31="","",ROUND((EOMONTH(DATE(الإعدادات!$C$12,الإعدادات!$C$13,1),0)-$F31)/365.25,1))</f>
        <v>15.5</v>
      </c>
      <c r="H31" s="30" t="s">
        <v>219</v>
      </c>
      <c r="I31" s="47">
        <v>17000</v>
      </c>
      <c r="J31" s="48">
        <f>IF($I31="","",ROUND($I31/الإعدادات!$C$25,2))</f>
        <v>566.66999999999996</v>
      </c>
      <c r="K31" s="48">
        <f>IF($I31="","",ROUND($I31/الإعدادات!$C$26,2))</f>
        <v>81.73</v>
      </c>
      <c r="L31" s="30" t="s">
        <v>220</v>
      </c>
      <c r="M31" s="49">
        <v>0.35416666666666702</v>
      </c>
      <c r="N31" s="49">
        <v>0.72916666666666696</v>
      </c>
      <c r="O31" s="30" t="s">
        <v>221</v>
      </c>
    </row>
    <row r="32" spans="1:15" ht="18" customHeight="1" x14ac:dyDescent="0.35">
      <c r="A32" s="18">
        <v>27</v>
      </c>
      <c r="B32" s="30" t="s">
        <v>280</v>
      </c>
      <c r="C32" s="45" t="s">
        <v>281</v>
      </c>
      <c r="D32" s="30" t="s">
        <v>277</v>
      </c>
      <c r="E32" s="30" t="s">
        <v>278</v>
      </c>
      <c r="F32" s="31">
        <v>44934</v>
      </c>
      <c r="G32" s="46">
        <f>IF($F32="","",ROUND((EOMONTH(DATE(الإعدادات!$C$12,الإعدادات!$C$13,1),0)-$F32)/365.25,1))</f>
        <v>3.6</v>
      </c>
      <c r="H32" s="30" t="s">
        <v>219</v>
      </c>
      <c r="I32" s="47">
        <v>6700</v>
      </c>
      <c r="J32" s="48">
        <f>IF($I32="","",ROUND($I32/الإعدادات!$C$25,2))</f>
        <v>223.33</v>
      </c>
      <c r="K32" s="48">
        <f>IF($I32="","",ROUND($I32/الإعدادات!$C$26,2))</f>
        <v>32.21</v>
      </c>
      <c r="L32" s="30" t="s">
        <v>220</v>
      </c>
      <c r="M32" s="49">
        <v>0.35416666666666702</v>
      </c>
      <c r="N32" s="49">
        <v>0.72916666666666696</v>
      </c>
      <c r="O32" s="30" t="s">
        <v>221</v>
      </c>
    </row>
    <row r="33" spans="1:15" ht="18" customHeight="1" x14ac:dyDescent="0.35">
      <c r="A33" s="18">
        <v>28</v>
      </c>
      <c r="B33" s="30" t="s">
        <v>282</v>
      </c>
      <c r="C33" s="45" t="s">
        <v>283</v>
      </c>
      <c r="D33" s="30" t="s">
        <v>277</v>
      </c>
      <c r="E33" s="30" t="s">
        <v>278</v>
      </c>
      <c r="F33" s="31">
        <v>44359</v>
      </c>
      <c r="G33" s="46">
        <f>IF($F33="","",ROUND((EOMONTH(DATE(الإعدادات!$C$12,الإعدادات!$C$13,1),0)-$F33)/365.25,1))</f>
        <v>5.2</v>
      </c>
      <c r="H33" s="30" t="s">
        <v>219</v>
      </c>
      <c r="I33" s="47">
        <v>7300</v>
      </c>
      <c r="J33" s="48">
        <f>IF($I33="","",ROUND($I33/الإعدادات!$C$25,2))</f>
        <v>243.33</v>
      </c>
      <c r="K33" s="48">
        <f>IF($I33="","",ROUND($I33/الإعدادات!$C$26,2))</f>
        <v>35.1</v>
      </c>
      <c r="L33" s="30" t="s">
        <v>220</v>
      </c>
      <c r="M33" s="49">
        <v>0.35416666666666702</v>
      </c>
      <c r="N33" s="49">
        <v>0.72916666666666696</v>
      </c>
      <c r="O33" s="30" t="s">
        <v>221</v>
      </c>
    </row>
    <row r="34" spans="1:15" ht="18" customHeight="1" x14ac:dyDescent="0.35">
      <c r="A34" s="18">
        <v>29</v>
      </c>
      <c r="B34" s="30" t="s">
        <v>284</v>
      </c>
      <c r="C34" s="45" t="s">
        <v>285</v>
      </c>
      <c r="D34" s="30" t="s">
        <v>277</v>
      </c>
      <c r="E34" s="30" t="s">
        <v>278</v>
      </c>
      <c r="F34" s="31">
        <v>43583</v>
      </c>
      <c r="G34" s="46">
        <f>IF($F34="","",ROUND((EOMONTH(DATE(الإعدادات!$C$12,الإعدادات!$C$13,1),0)-$F34)/365.25,1))</f>
        <v>7.3</v>
      </c>
      <c r="H34" s="30" t="s">
        <v>219</v>
      </c>
      <c r="I34" s="47">
        <v>8100</v>
      </c>
      <c r="J34" s="48">
        <f>IF($I34="","",ROUND($I34/الإعدادات!$C$25,2))</f>
        <v>270</v>
      </c>
      <c r="K34" s="48">
        <f>IF($I34="","",ROUND($I34/الإعدادات!$C$26,2))</f>
        <v>38.94</v>
      </c>
      <c r="L34" s="30" t="s">
        <v>220</v>
      </c>
      <c r="M34" s="49">
        <v>0.35416666666666702</v>
      </c>
      <c r="N34" s="49">
        <v>0.72916666666666696</v>
      </c>
      <c r="O34" s="30" t="s">
        <v>221</v>
      </c>
    </row>
    <row r="35" spans="1:15" ht="18" customHeight="1" x14ac:dyDescent="0.35">
      <c r="A35" s="18">
        <v>30</v>
      </c>
      <c r="B35" s="30" t="s">
        <v>286</v>
      </c>
      <c r="C35" s="45" t="s">
        <v>287</v>
      </c>
      <c r="D35" s="30" t="s">
        <v>277</v>
      </c>
      <c r="E35" s="30" t="s">
        <v>278</v>
      </c>
      <c r="F35" s="31">
        <v>46113</v>
      </c>
      <c r="G35" s="46">
        <f>IF($F35="","",ROUND((EOMONTH(DATE(الإعدادات!$C$12,الإعدادات!$C$13,1),0)-$F35)/365.25,1))</f>
        <v>0.4</v>
      </c>
      <c r="H35" s="30" t="s">
        <v>274</v>
      </c>
      <c r="I35" s="47">
        <v>5400</v>
      </c>
      <c r="J35" s="48">
        <f>IF($I35="","",ROUND($I35/الإعدادات!$C$25,2))</f>
        <v>180</v>
      </c>
      <c r="K35" s="48">
        <f>IF($I35="","",ROUND($I35/الإعدادات!$C$26,2))</f>
        <v>25.96</v>
      </c>
      <c r="L35" s="30" t="s">
        <v>220</v>
      </c>
      <c r="M35" s="49">
        <v>0.35416666666666702</v>
      </c>
      <c r="N35" s="49">
        <v>0.72916666666666696</v>
      </c>
      <c r="O35" s="30" t="s">
        <v>221</v>
      </c>
    </row>
    <row r="36" spans="1:15" ht="18" customHeight="1" x14ac:dyDescent="0.35">
      <c r="A36" s="18"/>
      <c r="B36" s="30"/>
      <c r="C36" s="45"/>
      <c r="D36" s="30"/>
      <c r="E36" s="30"/>
      <c r="F36" s="31"/>
      <c r="G36" s="46" t="str">
        <f>IF($F36="","",ROUND((EOMONTH(DATE(الإعدادات!$C$12,الإعدادات!$C$13,1),0)-$F36)/365.25,1))</f>
        <v/>
      </c>
      <c r="H36" s="30"/>
      <c r="I36" s="47"/>
      <c r="J36" s="48" t="str">
        <f>IF($I36="","",ROUND($I36/الإعدادات!$C$25,2))</f>
        <v/>
      </c>
      <c r="K36" s="48" t="str">
        <f>IF($I36="","",ROUND($I36/الإعدادات!$C$26,2))</f>
        <v/>
      </c>
      <c r="L36" s="30"/>
      <c r="M36" s="49"/>
      <c r="N36" s="49"/>
      <c r="O36" s="30"/>
    </row>
    <row r="37" spans="1:15" ht="18" customHeight="1" x14ac:dyDescent="0.35">
      <c r="A37" s="18"/>
      <c r="B37" s="30"/>
      <c r="C37" s="45"/>
      <c r="D37" s="30"/>
      <c r="E37" s="30"/>
      <c r="F37" s="31"/>
      <c r="G37" s="46" t="str">
        <f>IF($F37="","",ROUND((EOMONTH(DATE(الإعدادات!$C$12,الإعدادات!$C$13,1),0)-$F37)/365.25,1))</f>
        <v/>
      </c>
      <c r="H37" s="30"/>
      <c r="I37" s="47"/>
      <c r="J37" s="48" t="str">
        <f>IF($I37="","",ROUND($I37/الإعدادات!$C$25,2))</f>
        <v/>
      </c>
      <c r="K37" s="48" t="str">
        <f>IF($I37="","",ROUND($I37/الإعدادات!$C$26,2))</f>
        <v/>
      </c>
      <c r="L37" s="30"/>
      <c r="M37" s="49"/>
      <c r="N37" s="49"/>
      <c r="O37" s="30"/>
    </row>
    <row r="38" spans="1:15" ht="18" customHeight="1" x14ac:dyDescent="0.35">
      <c r="A38" s="18"/>
      <c r="B38" s="30"/>
      <c r="C38" s="45"/>
      <c r="D38" s="30"/>
      <c r="E38" s="30"/>
      <c r="F38" s="31"/>
      <c r="G38" s="46" t="str">
        <f>IF($F38="","",ROUND((EOMONTH(DATE(الإعدادات!$C$12,الإعدادات!$C$13,1),0)-$F38)/365.25,1))</f>
        <v/>
      </c>
      <c r="H38" s="30"/>
      <c r="I38" s="47"/>
      <c r="J38" s="48" t="str">
        <f>IF($I38="","",ROUND($I38/الإعدادات!$C$25,2))</f>
        <v/>
      </c>
      <c r="K38" s="48" t="str">
        <f>IF($I38="","",ROUND($I38/الإعدادات!$C$26,2))</f>
        <v/>
      </c>
      <c r="L38" s="30"/>
      <c r="M38" s="49"/>
      <c r="N38" s="49"/>
      <c r="O38" s="30"/>
    </row>
    <row r="39" spans="1:15" ht="18" customHeight="1" x14ac:dyDescent="0.35">
      <c r="A39" s="18"/>
      <c r="B39" s="30"/>
      <c r="C39" s="45"/>
      <c r="D39" s="30"/>
      <c r="E39" s="30"/>
      <c r="F39" s="31"/>
      <c r="G39" s="46" t="str">
        <f>IF($F39="","",ROUND((EOMONTH(DATE(الإعدادات!$C$12,الإعدادات!$C$13,1),0)-$F39)/365.25,1))</f>
        <v/>
      </c>
      <c r="H39" s="30"/>
      <c r="I39" s="47"/>
      <c r="J39" s="48" t="str">
        <f>IF($I39="","",ROUND($I39/الإعدادات!$C$25,2))</f>
        <v/>
      </c>
      <c r="K39" s="48" t="str">
        <f>IF($I39="","",ROUND($I39/الإعدادات!$C$26,2))</f>
        <v/>
      </c>
      <c r="L39" s="30"/>
      <c r="M39" s="49"/>
      <c r="N39" s="49"/>
      <c r="O39" s="30"/>
    </row>
    <row r="40" spans="1:15" ht="18" customHeight="1" x14ac:dyDescent="0.35">
      <c r="A40" s="18"/>
      <c r="B40" s="30"/>
      <c r="C40" s="45"/>
      <c r="D40" s="30"/>
      <c r="E40" s="30"/>
      <c r="F40" s="31"/>
      <c r="G40" s="46" t="str">
        <f>IF($F40="","",ROUND((EOMONTH(DATE(الإعدادات!$C$12,الإعدادات!$C$13,1),0)-$F40)/365.25,1))</f>
        <v/>
      </c>
      <c r="H40" s="30"/>
      <c r="I40" s="47"/>
      <c r="J40" s="48" t="str">
        <f>IF($I40="","",ROUND($I40/الإعدادات!$C$25,2))</f>
        <v/>
      </c>
      <c r="K40" s="48" t="str">
        <f>IF($I40="","",ROUND($I40/الإعدادات!$C$26,2))</f>
        <v/>
      </c>
      <c r="L40" s="30"/>
      <c r="M40" s="49"/>
      <c r="N40" s="49"/>
      <c r="O40" s="30"/>
    </row>
    <row r="41" spans="1:15" ht="18" customHeight="1" x14ac:dyDescent="0.35">
      <c r="A41" s="18"/>
      <c r="B41" s="30"/>
      <c r="C41" s="45"/>
      <c r="D41" s="30"/>
      <c r="E41" s="30"/>
      <c r="F41" s="31"/>
      <c r="G41" s="46" t="str">
        <f>IF($F41="","",ROUND((EOMONTH(DATE(الإعدادات!$C$12,الإعدادات!$C$13,1),0)-$F41)/365.25,1))</f>
        <v/>
      </c>
      <c r="H41" s="30"/>
      <c r="I41" s="47"/>
      <c r="J41" s="48" t="str">
        <f>IF($I41="","",ROUND($I41/الإعدادات!$C$25,2))</f>
        <v/>
      </c>
      <c r="K41" s="48" t="str">
        <f>IF($I41="","",ROUND($I41/الإعدادات!$C$26,2))</f>
        <v/>
      </c>
      <c r="L41" s="30"/>
      <c r="M41" s="49"/>
      <c r="N41" s="49"/>
      <c r="O41" s="30"/>
    </row>
    <row r="42" spans="1:15" ht="18" customHeight="1" x14ac:dyDescent="0.35">
      <c r="A42" s="18"/>
      <c r="B42" s="30"/>
      <c r="C42" s="45"/>
      <c r="D42" s="30"/>
      <c r="E42" s="30"/>
      <c r="F42" s="31"/>
      <c r="G42" s="46" t="str">
        <f>IF($F42="","",ROUND((EOMONTH(DATE(الإعدادات!$C$12,الإعدادات!$C$13,1),0)-$F42)/365.25,1))</f>
        <v/>
      </c>
      <c r="H42" s="30"/>
      <c r="I42" s="47"/>
      <c r="J42" s="48" t="str">
        <f>IF($I42="","",ROUND($I42/الإعدادات!$C$25,2))</f>
        <v/>
      </c>
      <c r="K42" s="48" t="str">
        <f>IF($I42="","",ROUND($I42/الإعدادات!$C$26,2))</f>
        <v/>
      </c>
      <c r="L42" s="30"/>
      <c r="M42" s="49"/>
      <c r="N42" s="49"/>
      <c r="O42" s="30"/>
    </row>
    <row r="43" spans="1:15" ht="18" customHeight="1" x14ac:dyDescent="0.35">
      <c r="A43" s="18"/>
      <c r="B43" s="30"/>
      <c r="C43" s="45"/>
      <c r="D43" s="30"/>
      <c r="E43" s="30"/>
      <c r="F43" s="31"/>
      <c r="G43" s="46" t="str">
        <f>IF($F43="","",ROUND((EOMONTH(DATE(الإعدادات!$C$12,الإعدادات!$C$13,1),0)-$F43)/365.25,1))</f>
        <v/>
      </c>
      <c r="H43" s="30"/>
      <c r="I43" s="47"/>
      <c r="J43" s="48" t="str">
        <f>IF($I43="","",ROUND($I43/الإعدادات!$C$25,2))</f>
        <v/>
      </c>
      <c r="K43" s="48" t="str">
        <f>IF($I43="","",ROUND($I43/الإعدادات!$C$26,2))</f>
        <v/>
      </c>
      <c r="L43" s="30"/>
      <c r="M43" s="49"/>
      <c r="N43" s="49"/>
      <c r="O43" s="30"/>
    </row>
    <row r="44" spans="1:15" ht="18" customHeight="1" x14ac:dyDescent="0.35">
      <c r="A44" s="18"/>
      <c r="B44" s="30"/>
      <c r="C44" s="45"/>
      <c r="D44" s="30"/>
      <c r="E44" s="30"/>
      <c r="F44" s="31"/>
      <c r="G44" s="46" t="str">
        <f>IF($F44="","",ROUND((EOMONTH(DATE(الإعدادات!$C$12,الإعدادات!$C$13,1),0)-$F44)/365.25,1))</f>
        <v/>
      </c>
      <c r="H44" s="30"/>
      <c r="I44" s="47"/>
      <c r="J44" s="48" t="str">
        <f>IF($I44="","",ROUND($I44/الإعدادات!$C$25,2))</f>
        <v/>
      </c>
      <c r="K44" s="48" t="str">
        <f>IF($I44="","",ROUND($I44/الإعدادات!$C$26,2))</f>
        <v/>
      </c>
      <c r="L44" s="30"/>
      <c r="M44" s="49"/>
      <c r="N44" s="49"/>
      <c r="O44" s="30"/>
    </row>
    <row r="45" spans="1:15" ht="18" customHeight="1" x14ac:dyDescent="0.35">
      <c r="A45" s="18"/>
      <c r="B45" s="30"/>
      <c r="C45" s="45"/>
      <c r="D45" s="30"/>
      <c r="E45" s="30"/>
      <c r="F45" s="31"/>
      <c r="G45" s="46" t="str">
        <f>IF($F45="","",ROUND((EOMONTH(DATE(الإعدادات!$C$12,الإعدادات!$C$13,1),0)-$F45)/365.25,1))</f>
        <v/>
      </c>
      <c r="H45" s="30"/>
      <c r="I45" s="47"/>
      <c r="J45" s="48" t="str">
        <f>IF($I45="","",ROUND($I45/الإعدادات!$C$25,2))</f>
        <v/>
      </c>
      <c r="K45" s="48" t="str">
        <f>IF($I45="","",ROUND($I45/الإعدادات!$C$26,2))</f>
        <v/>
      </c>
      <c r="L45" s="30"/>
      <c r="M45" s="49"/>
      <c r="N45" s="49"/>
      <c r="O45" s="30"/>
    </row>
    <row r="47" spans="1:15" ht="25.5" customHeight="1" x14ac:dyDescent="0.35">
      <c r="A47" s="8" t="s">
        <v>288</v>
      </c>
      <c r="B47" s="8"/>
      <c r="C47" s="8"/>
      <c r="D47" s="8"/>
      <c r="E47" s="8"/>
      <c r="F47" s="8"/>
      <c r="G47" s="8"/>
      <c r="H47" s="8"/>
      <c r="I47" s="8"/>
      <c r="J47" s="8"/>
      <c r="K47" s="8"/>
      <c r="L47" s="8"/>
      <c r="M47" s="8"/>
      <c r="N47" s="8"/>
      <c r="O47" s="8"/>
    </row>
    <row r="48" spans="1:15" ht="25.5" customHeight="1" x14ac:dyDescent="0.35">
      <c r="A48" s="9" t="s">
        <v>289</v>
      </c>
      <c r="B48" s="9"/>
      <c r="C48" s="9"/>
      <c r="D48" s="9"/>
      <c r="E48" s="9"/>
      <c r="F48" s="9"/>
      <c r="G48" s="9"/>
      <c r="H48" s="9"/>
      <c r="I48" s="9"/>
      <c r="J48" s="9"/>
      <c r="K48" s="9"/>
      <c r="L48" s="9"/>
      <c r="M48" s="9"/>
      <c r="N48" s="9"/>
      <c r="O48" s="9"/>
    </row>
  </sheetData>
  <sheetProtection sheet="1" formatCells="0" formatColumns="0" formatRows="0" sort="0" autoFilter="0"/>
  <mergeCells count="4">
    <mergeCell ref="A1:O1"/>
    <mergeCell ref="A2:O2"/>
    <mergeCell ref="A47:O47"/>
    <mergeCell ref="A48:O48"/>
  </mergeCells>
  <dataValidations count="3">
    <dataValidation type="list" allowBlank="1" sqref="D6:D45" xr:uid="{00000000-0002-0000-0300-000000000000}">
      <formula1>"العمليات,الجودة,الإنتاج,السلامة والصحة,الصيانة,المستودع,الإدارة"</formula1>
      <formula2>0</formula2>
    </dataValidation>
    <dataValidation type="list" allowBlank="1" sqref="H6:H45" xr:uid="{00000000-0002-0000-0300-000001000000}">
      <formula1>"غير محدد المدة,محدد المدة,تحت التجربة,عقد مؤقت"</formula1>
      <formula2>0</formula2>
    </dataValidation>
    <dataValidation type="list" allowBlank="1" sqref="O6:O45" xr:uid="{00000000-0002-0000-0300-000002000000}">
      <formula1>"نشط,موقوف,منتهي الخدمة"</formula1>
      <formula2>0</formula2>
    </dataValidation>
  </dataValidations>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
  <sheetViews>
    <sheetView showGridLines="0" rightToLeft="1" topLeftCell="A22" zoomScaleNormal="100" workbookViewId="0">
      <selection activeCell="C16" sqref="C16"/>
    </sheetView>
  </sheetViews>
  <sheetFormatPr defaultColWidth="8.6328125" defaultRowHeight="14.5" x14ac:dyDescent="0.35"/>
  <cols>
    <col min="1" max="1" width="3" customWidth="1"/>
    <col min="2" max="2" width="5" customWidth="1"/>
    <col min="3" max="3" width="30" customWidth="1"/>
    <col min="4" max="4" width="11" customWidth="1"/>
    <col min="5" max="5" width="44" customWidth="1"/>
    <col min="6" max="6" width="11" customWidth="1"/>
    <col min="7" max="7" width="3" customWidth="1"/>
    <col min="8" max="8" width="9" customWidth="1"/>
    <col min="9" max="9" width="14" customWidth="1"/>
    <col min="10" max="10" width="44" customWidth="1"/>
  </cols>
  <sheetData>
    <row r="1" spans="1:10" ht="30" customHeight="1" x14ac:dyDescent="0.35">
      <c r="A1" s="14" t="s">
        <v>290</v>
      </c>
      <c r="B1" s="14"/>
      <c r="C1" s="14"/>
      <c r="D1" s="14"/>
      <c r="E1" s="14"/>
      <c r="F1" s="14"/>
      <c r="G1" s="14"/>
      <c r="H1" s="14"/>
      <c r="I1" s="14"/>
      <c r="J1" s="14"/>
    </row>
    <row r="2" spans="1:10" ht="18" customHeight="1" x14ac:dyDescent="0.35">
      <c r="A2" s="13" t="s">
        <v>291</v>
      </c>
      <c r="B2" s="13"/>
      <c r="C2" s="13"/>
      <c r="D2" s="13"/>
      <c r="E2" s="13"/>
      <c r="F2" s="13"/>
      <c r="G2" s="13"/>
      <c r="H2" s="13"/>
      <c r="I2" s="13"/>
      <c r="J2" s="13"/>
    </row>
    <row r="5" spans="1:10" ht="30" customHeight="1" x14ac:dyDescent="0.35">
      <c r="B5" s="15" t="s">
        <v>200</v>
      </c>
      <c r="C5" s="15" t="s">
        <v>292</v>
      </c>
      <c r="D5" s="15" t="s">
        <v>293</v>
      </c>
      <c r="E5" s="15" t="s">
        <v>294</v>
      </c>
      <c r="F5" s="15" t="s">
        <v>295</v>
      </c>
      <c r="H5" s="50" t="s">
        <v>296</v>
      </c>
      <c r="I5" s="50" t="s">
        <v>297</v>
      </c>
    </row>
    <row r="6" spans="1:10" ht="15.75" customHeight="1" x14ac:dyDescent="0.35">
      <c r="B6" s="18">
        <v>1</v>
      </c>
      <c r="C6" s="45" t="s">
        <v>298</v>
      </c>
      <c r="D6" s="31">
        <v>46101</v>
      </c>
      <c r="E6" s="32">
        <v>4</v>
      </c>
      <c r="F6" s="51">
        <f>0</f>
        <v>0</v>
      </c>
      <c r="H6" s="18">
        <v>1</v>
      </c>
      <c r="I6" s="52">
        <f>IF(1&gt;SUM($E$6:$E$25),"",INDEX($D$6:$D$25,MATCH(0,$F$6:$F$25,1))+0-INDEX($F$6:$F$25,MATCH(0,$F$6:$F$25,1)))</f>
        <v>46101</v>
      </c>
      <c r="J6" s="6" t="s">
        <v>299</v>
      </c>
    </row>
    <row r="7" spans="1:10" ht="15.75" customHeight="1" x14ac:dyDescent="0.35">
      <c r="B7" s="18">
        <v>2</v>
      </c>
      <c r="C7" s="45" t="s">
        <v>300</v>
      </c>
      <c r="D7" s="31">
        <v>46168</v>
      </c>
      <c r="E7" s="32">
        <v>4</v>
      </c>
      <c r="F7" s="51">
        <f t="shared" ref="F7:F25" si="0">IF($C7="",9000+ROW(),$F6+IF($E6="",0,$E6))</f>
        <v>4</v>
      </c>
      <c r="H7" s="18">
        <v>2</v>
      </c>
      <c r="I7" s="52">
        <f>IF(2&gt;SUM($E$6:$E$25),"",INDEX($D$6:$D$25,MATCH(1,$F$6:$F$25,1))+1-INDEX($F$6:$F$25,MATCH(1,$F$6:$F$25,1)))</f>
        <v>46102</v>
      </c>
      <c r="J7" s="6"/>
    </row>
    <row r="8" spans="1:10" ht="15.75" customHeight="1" x14ac:dyDescent="0.35">
      <c r="B8" s="18">
        <v>3</v>
      </c>
      <c r="C8" s="45" t="s">
        <v>301</v>
      </c>
      <c r="D8" s="31">
        <v>46075</v>
      </c>
      <c r="E8" s="32">
        <v>1</v>
      </c>
      <c r="F8" s="51">
        <f t="shared" si="0"/>
        <v>8</v>
      </c>
      <c r="H8" s="18">
        <v>3</v>
      </c>
      <c r="I8" s="52">
        <f>IF(3&gt;SUM($E$6:$E$25),"",INDEX($D$6:$D$25,MATCH(2,$F$6:$F$25,1))+2-INDEX($F$6:$F$25,MATCH(2,$F$6:$F$25,1)))</f>
        <v>46103</v>
      </c>
      <c r="J8" s="6"/>
    </row>
    <row r="9" spans="1:10" ht="15.75" customHeight="1" x14ac:dyDescent="0.35">
      <c r="B9" s="18">
        <v>4</v>
      </c>
      <c r="C9" s="45" t="s">
        <v>302</v>
      </c>
      <c r="D9" s="31">
        <v>46288</v>
      </c>
      <c r="E9" s="32">
        <v>1</v>
      </c>
      <c r="F9" s="51">
        <f t="shared" si="0"/>
        <v>9</v>
      </c>
      <c r="H9" s="18">
        <v>4</v>
      </c>
      <c r="I9" s="52">
        <f>IF(4&gt;SUM($E$6:$E$25),"",INDEX($D$6:$D$25,MATCH(3,$F$6:$F$25,1))+3-INDEX($F$6:$F$25,MATCH(3,$F$6:$F$25,1)))</f>
        <v>46104</v>
      </c>
      <c r="J9" s="6"/>
    </row>
    <row r="10" spans="1:10" ht="15.75" customHeight="1" x14ac:dyDescent="0.35">
      <c r="B10" s="18"/>
      <c r="C10" s="45"/>
      <c r="D10" s="31"/>
      <c r="E10" s="32"/>
      <c r="F10" s="51">
        <f t="shared" si="0"/>
        <v>9010</v>
      </c>
      <c r="H10" s="18">
        <v>5</v>
      </c>
      <c r="I10" s="52">
        <f>IF(5&gt;SUM($E$6:$E$25),"",INDEX($D$6:$D$25,MATCH(4,$F$6:$F$25,1))+4-INDEX($F$6:$F$25,MATCH(4,$F$6:$F$25,1)))</f>
        <v>46168</v>
      </c>
      <c r="J10" s="6"/>
    </row>
    <row r="11" spans="1:10" ht="15.75" customHeight="1" x14ac:dyDescent="0.35">
      <c r="B11" s="18"/>
      <c r="C11" s="45"/>
      <c r="D11" s="31"/>
      <c r="E11" s="32"/>
      <c r="F11" s="51">
        <f t="shared" si="0"/>
        <v>9011</v>
      </c>
      <c r="H11" s="18">
        <v>6</v>
      </c>
      <c r="I11" s="52">
        <f>IF(6&gt;SUM($E$6:$E$25),"",INDEX($D$6:$D$25,MATCH(5,$F$6:$F$25,1))+5-INDEX($F$6:$F$25,MATCH(5,$F$6:$F$25,1)))</f>
        <v>46169</v>
      </c>
      <c r="J11" s="6"/>
    </row>
    <row r="12" spans="1:10" ht="15.75" customHeight="1" x14ac:dyDescent="0.35">
      <c r="B12" s="18"/>
      <c r="C12" s="45"/>
      <c r="D12" s="31"/>
      <c r="E12" s="32"/>
      <c r="F12" s="51">
        <f t="shared" si="0"/>
        <v>9012</v>
      </c>
      <c r="H12" s="18">
        <v>7</v>
      </c>
      <c r="I12" s="52">
        <f>IF(7&gt;SUM($E$6:$E$25),"",INDEX($D$6:$D$25,MATCH(6,$F$6:$F$25,1))+6-INDEX($F$6:$F$25,MATCH(6,$F$6:$F$25,1)))</f>
        <v>46170</v>
      </c>
      <c r="J12" s="6"/>
    </row>
    <row r="13" spans="1:10" ht="15.75" customHeight="1" x14ac:dyDescent="0.35">
      <c r="B13" s="18"/>
      <c r="C13" s="45"/>
      <c r="D13" s="31"/>
      <c r="E13" s="32"/>
      <c r="F13" s="51">
        <f t="shared" si="0"/>
        <v>9013</v>
      </c>
      <c r="H13" s="18">
        <v>8</v>
      </c>
      <c r="I13" s="52">
        <f>IF(8&gt;SUM($E$6:$E$25),"",INDEX($D$6:$D$25,MATCH(7,$F$6:$F$25,1))+7-INDEX($F$6:$F$25,MATCH(7,$F$6:$F$25,1)))</f>
        <v>46171</v>
      </c>
    </row>
    <row r="14" spans="1:10" ht="15.75" customHeight="1" x14ac:dyDescent="0.35">
      <c r="B14" s="18"/>
      <c r="C14" s="45"/>
      <c r="D14" s="31"/>
      <c r="E14" s="32"/>
      <c r="F14" s="51">
        <f t="shared" si="0"/>
        <v>9014</v>
      </c>
      <c r="H14" s="18">
        <v>9</v>
      </c>
      <c r="I14" s="52">
        <f>IF(9&gt;SUM($E$6:$E$25),"",INDEX($D$6:$D$25,MATCH(8,$F$6:$F$25,1))+8-INDEX($F$6:$F$25,MATCH(8,$F$6:$F$25,1)))</f>
        <v>46075</v>
      </c>
    </row>
    <row r="15" spans="1:10" ht="15.75" customHeight="1" x14ac:dyDescent="0.35">
      <c r="B15" s="18"/>
      <c r="C15" s="45"/>
      <c r="D15" s="31"/>
      <c r="E15" s="32"/>
      <c r="F15" s="51">
        <f t="shared" si="0"/>
        <v>9015</v>
      </c>
      <c r="H15" s="18">
        <v>10</v>
      </c>
      <c r="I15" s="52">
        <f>IF(10&gt;SUM($E$6:$E$25),"",INDEX($D$6:$D$25,MATCH(9,$F$6:$F$25,1))+9-INDEX($F$6:$F$25,MATCH(9,$F$6:$F$25,1)))</f>
        <v>46288</v>
      </c>
    </row>
    <row r="16" spans="1:10" ht="15.75" customHeight="1" x14ac:dyDescent="0.35">
      <c r="B16" s="18"/>
      <c r="C16" s="45"/>
      <c r="D16" s="31"/>
      <c r="E16" s="32"/>
      <c r="F16" s="51">
        <f t="shared" si="0"/>
        <v>9016</v>
      </c>
      <c r="H16" s="18">
        <v>11</v>
      </c>
      <c r="I16" s="52" t="str">
        <f>IF(11&gt;SUM($E$6:$E$25),"",INDEX($D$6:$D$25,MATCH(10,$F$6:$F$25,1))+10-INDEX($F$6:$F$25,MATCH(10,$F$6:$F$25,1)))</f>
        <v/>
      </c>
    </row>
    <row r="17" spans="2:9" ht="15.75" customHeight="1" x14ac:dyDescent="0.35">
      <c r="B17" s="18"/>
      <c r="C17" s="45"/>
      <c r="D17" s="31"/>
      <c r="E17" s="32"/>
      <c r="F17" s="51">
        <f t="shared" si="0"/>
        <v>9017</v>
      </c>
      <c r="H17" s="18">
        <v>12</v>
      </c>
      <c r="I17" s="52" t="str">
        <f>IF(12&gt;SUM($E$6:$E$25),"",INDEX($D$6:$D$25,MATCH(11,$F$6:$F$25,1))+11-INDEX($F$6:$F$25,MATCH(11,$F$6:$F$25,1)))</f>
        <v/>
      </c>
    </row>
    <row r="18" spans="2:9" ht="15.75" customHeight="1" x14ac:dyDescent="0.35">
      <c r="B18" s="18"/>
      <c r="C18" s="45"/>
      <c r="D18" s="31"/>
      <c r="E18" s="32"/>
      <c r="F18" s="51">
        <f t="shared" si="0"/>
        <v>9018</v>
      </c>
      <c r="H18" s="18">
        <v>13</v>
      </c>
      <c r="I18" s="52" t="str">
        <f>IF(13&gt;SUM($E$6:$E$25),"",INDEX($D$6:$D$25,MATCH(12,$F$6:$F$25,1))+12-INDEX($F$6:$F$25,MATCH(12,$F$6:$F$25,1)))</f>
        <v/>
      </c>
    </row>
    <row r="19" spans="2:9" ht="15.75" customHeight="1" x14ac:dyDescent="0.35">
      <c r="B19" s="18"/>
      <c r="C19" s="45"/>
      <c r="D19" s="31"/>
      <c r="E19" s="32"/>
      <c r="F19" s="51">
        <f t="shared" si="0"/>
        <v>9019</v>
      </c>
      <c r="H19" s="18">
        <v>14</v>
      </c>
      <c r="I19" s="52" t="str">
        <f>IF(14&gt;SUM($E$6:$E$25),"",INDEX($D$6:$D$25,MATCH(13,$F$6:$F$25,1))+13-INDEX($F$6:$F$25,MATCH(13,$F$6:$F$25,1)))</f>
        <v/>
      </c>
    </row>
    <row r="20" spans="2:9" ht="15.75" customHeight="1" x14ac:dyDescent="0.35">
      <c r="B20" s="18"/>
      <c r="C20" s="45"/>
      <c r="D20" s="31"/>
      <c r="E20" s="32"/>
      <c r="F20" s="51">
        <f t="shared" si="0"/>
        <v>9020</v>
      </c>
      <c r="H20" s="18">
        <v>15</v>
      </c>
      <c r="I20" s="52" t="str">
        <f>IF(15&gt;SUM($E$6:$E$25),"",INDEX($D$6:$D$25,MATCH(14,$F$6:$F$25,1))+14-INDEX($F$6:$F$25,MATCH(14,$F$6:$F$25,1)))</f>
        <v/>
      </c>
    </row>
    <row r="21" spans="2:9" ht="15.75" customHeight="1" x14ac:dyDescent="0.35">
      <c r="B21" s="18"/>
      <c r="C21" s="45"/>
      <c r="D21" s="31"/>
      <c r="E21" s="32"/>
      <c r="F21" s="51">
        <f t="shared" si="0"/>
        <v>9021</v>
      </c>
      <c r="H21" s="18">
        <v>16</v>
      </c>
      <c r="I21" s="52" t="str">
        <f>IF(16&gt;SUM($E$6:$E$25),"",INDEX($D$6:$D$25,MATCH(15,$F$6:$F$25,1))+15-INDEX($F$6:$F$25,MATCH(15,$F$6:$F$25,1)))</f>
        <v/>
      </c>
    </row>
    <row r="22" spans="2:9" ht="15.75" customHeight="1" x14ac:dyDescent="0.35">
      <c r="B22" s="18"/>
      <c r="C22" s="45"/>
      <c r="D22" s="31"/>
      <c r="E22" s="32"/>
      <c r="F22" s="51">
        <f t="shared" si="0"/>
        <v>9022</v>
      </c>
      <c r="H22" s="18">
        <v>17</v>
      </c>
      <c r="I22" s="52" t="str">
        <f>IF(17&gt;SUM($E$6:$E$25),"",INDEX($D$6:$D$25,MATCH(16,$F$6:$F$25,1))+16-INDEX($F$6:$F$25,MATCH(16,$F$6:$F$25,1)))</f>
        <v/>
      </c>
    </row>
    <row r="23" spans="2:9" ht="15.75" customHeight="1" x14ac:dyDescent="0.35">
      <c r="B23" s="18"/>
      <c r="C23" s="45"/>
      <c r="D23" s="31"/>
      <c r="E23" s="32"/>
      <c r="F23" s="51">
        <f t="shared" si="0"/>
        <v>9023</v>
      </c>
      <c r="H23" s="18">
        <v>18</v>
      </c>
      <c r="I23" s="52" t="str">
        <f>IF(18&gt;SUM($E$6:$E$25),"",INDEX($D$6:$D$25,MATCH(17,$F$6:$F$25,1))+17-INDEX($F$6:$F$25,MATCH(17,$F$6:$F$25,1)))</f>
        <v/>
      </c>
    </row>
    <row r="24" spans="2:9" ht="15.75" customHeight="1" x14ac:dyDescent="0.35">
      <c r="B24" s="18"/>
      <c r="C24" s="45"/>
      <c r="D24" s="31"/>
      <c r="E24" s="32"/>
      <c r="F24" s="51">
        <f t="shared" si="0"/>
        <v>9024</v>
      </c>
      <c r="H24" s="18">
        <v>19</v>
      </c>
      <c r="I24" s="52" t="str">
        <f>IF(19&gt;SUM($E$6:$E$25),"",INDEX($D$6:$D$25,MATCH(18,$F$6:$F$25,1))+18-INDEX($F$6:$F$25,MATCH(18,$F$6:$F$25,1)))</f>
        <v/>
      </c>
    </row>
    <row r="25" spans="2:9" ht="15.75" customHeight="1" x14ac:dyDescent="0.35">
      <c r="B25" s="18"/>
      <c r="C25" s="45"/>
      <c r="D25" s="31"/>
      <c r="E25" s="32"/>
      <c r="F25" s="51">
        <f t="shared" si="0"/>
        <v>9025</v>
      </c>
      <c r="H25" s="18">
        <v>20</v>
      </c>
      <c r="I25" s="52" t="str">
        <f>IF(20&gt;SUM($E$6:$E$25),"",INDEX($D$6:$D$25,MATCH(19,$F$6:$F$25,1))+19-INDEX($F$6:$F$25,MATCH(19,$F$6:$F$25,1)))</f>
        <v/>
      </c>
    </row>
    <row r="26" spans="2:9" ht="15.75" customHeight="1" x14ac:dyDescent="0.35">
      <c r="H26" s="18">
        <v>21</v>
      </c>
      <c r="I26" s="52" t="str">
        <f>IF(21&gt;SUM($E$6:$E$25),"",INDEX($D$6:$D$25,MATCH(20,$F$6:$F$25,1))+20-INDEX($F$6:$F$25,MATCH(20,$F$6:$F$25,1)))</f>
        <v/>
      </c>
    </row>
    <row r="27" spans="2:9" ht="21.75" customHeight="1" x14ac:dyDescent="0.35">
      <c r="B27" s="12" t="s">
        <v>303</v>
      </c>
      <c r="C27" s="12"/>
      <c r="D27" s="12"/>
      <c r="E27" s="12"/>
      <c r="H27" s="18">
        <v>22</v>
      </c>
      <c r="I27" s="52" t="str">
        <f>IF(22&gt;SUM($E$6:$E$25),"",INDEX($D$6:$D$25,MATCH(21,$F$6:$F$25,1))+21-INDEX($F$6:$F$25,MATCH(21,$F$6:$F$25,1)))</f>
        <v/>
      </c>
    </row>
    <row r="28" spans="2:9" ht="30" customHeight="1" x14ac:dyDescent="0.35">
      <c r="C28" s="15" t="s">
        <v>304</v>
      </c>
      <c r="D28" s="15" t="s">
        <v>294</v>
      </c>
      <c r="E28" s="15" t="s">
        <v>305</v>
      </c>
      <c r="H28" s="18">
        <v>23</v>
      </c>
      <c r="I28" s="52" t="str">
        <f>IF(23&gt;SUM($E$6:$E$25),"",INDEX($D$6:$D$25,MATCH(22,$F$6:$F$25,1))+22-INDEX($F$6:$F$25,MATCH(22,$F$6:$F$25,1)))</f>
        <v/>
      </c>
    </row>
    <row r="29" spans="2:9" ht="15.75" customHeight="1" x14ac:dyDescent="0.35">
      <c r="C29" s="17" t="s">
        <v>182</v>
      </c>
      <c r="D29" s="18">
        <v>5</v>
      </c>
      <c r="E29" s="17" t="s">
        <v>306</v>
      </c>
      <c r="H29" s="18">
        <v>24</v>
      </c>
      <c r="I29" s="52" t="str">
        <f>IF(24&gt;SUM($E$6:$E$25),"",INDEX($D$6:$D$25,MATCH(23,$F$6:$F$25,1))+23-INDEX($F$6:$F$25,MATCH(23,$F$6:$F$25,1)))</f>
        <v/>
      </c>
    </row>
    <row r="30" spans="2:9" ht="15.75" customHeight="1" x14ac:dyDescent="0.35">
      <c r="C30" s="17" t="s">
        <v>307</v>
      </c>
      <c r="D30" s="18">
        <v>3</v>
      </c>
      <c r="E30" s="17" t="s">
        <v>308</v>
      </c>
      <c r="H30" s="18">
        <v>25</v>
      </c>
      <c r="I30" s="52" t="str">
        <f>IF(25&gt;SUM($E$6:$E$25),"",INDEX($D$6:$D$25,MATCH(24,$F$6:$F$25,1))+24-INDEX($F$6:$F$25,MATCH(24,$F$6:$F$25,1)))</f>
        <v/>
      </c>
    </row>
    <row r="31" spans="2:9" ht="15.75" customHeight="1" x14ac:dyDescent="0.35">
      <c r="C31" s="17" t="s">
        <v>309</v>
      </c>
      <c r="D31" s="18">
        <v>5</v>
      </c>
      <c r="E31" s="17" t="s">
        <v>306</v>
      </c>
      <c r="H31" s="18">
        <v>26</v>
      </c>
      <c r="I31" s="52" t="str">
        <f>IF(26&gt;SUM($E$6:$E$25),"",INDEX($D$6:$D$25,MATCH(25,$F$6:$F$25,1))+25-INDEX($F$6:$F$25,MATCH(25,$F$6:$F$25,1)))</f>
        <v/>
      </c>
    </row>
    <row r="32" spans="2:9" ht="15.75" customHeight="1" x14ac:dyDescent="0.35">
      <c r="C32" s="17" t="s">
        <v>310</v>
      </c>
      <c r="D32" s="18">
        <v>3</v>
      </c>
      <c r="E32" s="17" t="s">
        <v>311</v>
      </c>
      <c r="H32" s="18">
        <v>27</v>
      </c>
      <c r="I32" s="52" t="str">
        <f>IF(27&gt;SUM($E$6:$E$25),"",INDEX($D$6:$D$25,MATCH(26,$F$6:$F$25,1))+26-INDEX($F$6:$F$25,MATCH(26,$F$6:$F$25,1)))</f>
        <v/>
      </c>
    </row>
    <row r="33" spans="3:9" ht="15.75" customHeight="1" x14ac:dyDescent="0.35">
      <c r="C33" s="17" t="s">
        <v>179</v>
      </c>
      <c r="D33" s="18">
        <v>84</v>
      </c>
      <c r="E33" s="17" t="s">
        <v>312</v>
      </c>
      <c r="H33" s="18">
        <v>28</v>
      </c>
      <c r="I33" s="52" t="str">
        <f>IF(28&gt;SUM($E$6:$E$25),"",INDEX($D$6:$D$25,MATCH(27,$F$6:$F$25,1))+27-INDEX($F$6:$F$25,MATCH(27,$F$6:$F$25,1)))</f>
        <v/>
      </c>
    </row>
    <row r="34" spans="3:9" ht="15.75" customHeight="1" x14ac:dyDescent="0.35">
      <c r="C34" s="17" t="s">
        <v>313</v>
      </c>
      <c r="D34" s="18">
        <v>130</v>
      </c>
      <c r="E34" s="17" t="s">
        <v>314</v>
      </c>
      <c r="H34" s="18">
        <v>29</v>
      </c>
      <c r="I34" s="52" t="str">
        <f>IF(29&gt;SUM($E$6:$E$25),"",INDEX($D$6:$D$25,MATCH(28,$F$6:$F$25,1))+28-INDEX($F$6:$F$25,MATCH(28,$F$6:$F$25,1)))</f>
        <v/>
      </c>
    </row>
    <row r="35" spans="3:9" ht="15.75" customHeight="1" x14ac:dyDescent="0.35">
      <c r="C35" s="17" t="s">
        <v>187</v>
      </c>
      <c r="D35" s="18">
        <v>15</v>
      </c>
      <c r="E35" s="17" t="s">
        <v>315</v>
      </c>
      <c r="H35" s="18">
        <v>30</v>
      </c>
      <c r="I35" s="52" t="str">
        <f>IF(30&gt;SUM($E$6:$E$25),"",INDEX($D$6:$D$25,MATCH(29,$F$6:$F$25,1))+29-INDEX($F$6:$F$25,MATCH(29,$F$6:$F$25,1)))</f>
        <v/>
      </c>
    </row>
    <row r="36" spans="3:9" ht="15.75" customHeight="1" x14ac:dyDescent="0.35">
      <c r="H36" s="18">
        <v>31</v>
      </c>
      <c r="I36" s="52" t="str">
        <f>IF(31&gt;SUM($E$6:$E$25),"",INDEX($D$6:$D$25,MATCH(30,$F$6:$F$25,1))+30-INDEX($F$6:$F$25,MATCH(30,$F$6:$F$25,1)))</f>
        <v/>
      </c>
    </row>
    <row r="37" spans="3:9" ht="15.75" customHeight="1" x14ac:dyDescent="0.35">
      <c r="H37" s="18">
        <v>32</v>
      </c>
      <c r="I37" s="52" t="str">
        <f>IF(32&gt;SUM($E$6:$E$25),"",INDEX($D$6:$D$25,MATCH(31,$F$6:$F$25,1))+31-INDEX($F$6:$F$25,MATCH(31,$F$6:$F$25,1)))</f>
        <v/>
      </c>
    </row>
    <row r="38" spans="3:9" ht="15.75" customHeight="1" x14ac:dyDescent="0.35">
      <c r="H38" s="18">
        <v>33</v>
      </c>
      <c r="I38" s="52" t="str">
        <f>IF(33&gt;SUM($E$6:$E$25),"",INDEX($D$6:$D$25,MATCH(32,$F$6:$F$25,1))+32-INDEX($F$6:$F$25,MATCH(32,$F$6:$F$25,1)))</f>
        <v/>
      </c>
    </row>
    <row r="39" spans="3:9" ht="15.75" customHeight="1" x14ac:dyDescent="0.35">
      <c r="H39" s="18">
        <v>34</v>
      </c>
      <c r="I39" s="52" t="str">
        <f>IF(34&gt;SUM($E$6:$E$25),"",INDEX($D$6:$D$25,MATCH(33,$F$6:$F$25,1))+33-INDEX($F$6:$F$25,MATCH(33,$F$6:$F$25,1)))</f>
        <v/>
      </c>
    </row>
    <row r="40" spans="3:9" ht="15.75" customHeight="1" x14ac:dyDescent="0.35">
      <c r="H40" s="18">
        <v>35</v>
      </c>
      <c r="I40" s="52" t="str">
        <f>IF(35&gt;SUM($E$6:$E$25),"",INDEX($D$6:$D$25,MATCH(34,$F$6:$F$25,1))+34-INDEX($F$6:$F$25,MATCH(34,$F$6:$F$25,1)))</f>
        <v/>
      </c>
    </row>
    <row r="41" spans="3:9" ht="15.75" customHeight="1" x14ac:dyDescent="0.35">
      <c r="H41" s="18">
        <v>36</v>
      </c>
      <c r="I41" s="52" t="str">
        <f>IF(36&gt;SUM($E$6:$E$25),"",INDEX($D$6:$D$25,MATCH(35,$F$6:$F$25,1))+35-INDEX($F$6:$F$25,MATCH(35,$F$6:$F$25,1)))</f>
        <v/>
      </c>
    </row>
    <row r="42" spans="3:9" ht="15.75" customHeight="1" x14ac:dyDescent="0.35">
      <c r="H42" s="18">
        <v>37</v>
      </c>
      <c r="I42" s="52" t="str">
        <f>IF(37&gt;SUM($E$6:$E$25),"",INDEX($D$6:$D$25,MATCH(36,$F$6:$F$25,1))+36-INDEX($F$6:$F$25,MATCH(36,$F$6:$F$25,1)))</f>
        <v/>
      </c>
    </row>
    <row r="43" spans="3:9" ht="15.75" customHeight="1" x14ac:dyDescent="0.35">
      <c r="H43" s="18">
        <v>38</v>
      </c>
      <c r="I43" s="52" t="str">
        <f>IF(38&gt;SUM($E$6:$E$25),"",INDEX($D$6:$D$25,MATCH(37,$F$6:$F$25,1))+37-INDEX($F$6:$F$25,MATCH(37,$F$6:$F$25,1)))</f>
        <v/>
      </c>
    </row>
    <row r="44" spans="3:9" ht="15.75" customHeight="1" x14ac:dyDescent="0.35">
      <c r="H44" s="18">
        <v>39</v>
      </c>
      <c r="I44" s="52" t="str">
        <f>IF(39&gt;SUM($E$6:$E$25),"",INDEX($D$6:$D$25,MATCH(38,$F$6:$F$25,1))+38-INDEX($F$6:$F$25,MATCH(38,$F$6:$F$25,1)))</f>
        <v/>
      </c>
    </row>
    <row r="45" spans="3:9" ht="15.75" customHeight="1" x14ac:dyDescent="0.35">
      <c r="H45" s="18">
        <v>40</v>
      </c>
      <c r="I45" s="52" t="str">
        <f>IF(40&gt;SUM($E$6:$E$25),"",INDEX($D$6:$D$25,MATCH(39,$F$6:$F$25,1))+39-INDEX($F$6:$F$25,MATCH(39,$F$6:$F$25,1)))</f>
        <v/>
      </c>
    </row>
    <row r="46" spans="3:9" ht="15.75" customHeight="1" x14ac:dyDescent="0.35">
      <c r="H46" s="18">
        <v>41</v>
      </c>
      <c r="I46" s="52" t="str">
        <f>IF(41&gt;SUM($E$6:$E$25),"",INDEX($D$6:$D$25,MATCH(40,$F$6:$F$25,1))+40-INDEX($F$6:$F$25,MATCH(40,$F$6:$F$25,1)))</f>
        <v/>
      </c>
    </row>
    <row r="47" spans="3:9" ht="15.75" customHeight="1" x14ac:dyDescent="0.35">
      <c r="H47" s="18">
        <v>42</v>
      </c>
      <c r="I47" s="52" t="str">
        <f>IF(42&gt;SUM($E$6:$E$25),"",INDEX($D$6:$D$25,MATCH(41,$F$6:$F$25,1))+41-INDEX($F$6:$F$25,MATCH(41,$F$6:$F$25,1)))</f>
        <v/>
      </c>
    </row>
    <row r="48" spans="3:9" ht="15.75" customHeight="1" x14ac:dyDescent="0.35">
      <c r="H48" s="18">
        <v>43</v>
      </c>
      <c r="I48" s="52" t="str">
        <f>IF(43&gt;SUM($E$6:$E$25),"",INDEX($D$6:$D$25,MATCH(42,$F$6:$F$25,1))+42-INDEX($F$6:$F$25,MATCH(42,$F$6:$F$25,1)))</f>
        <v/>
      </c>
    </row>
    <row r="49" spans="8:9" ht="15.75" customHeight="1" x14ac:dyDescent="0.35">
      <c r="H49" s="18">
        <v>44</v>
      </c>
      <c r="I49" s="52" t="str">
        <f>IF(44&gt;SUM($E$6:$E$25),"",INDEX($D$6:$D$25,MATCH(43,$F$6:$F$25,1))+43-INDEX($F$6:$F$25,MATCH(43,$F$6:$F$25,1)))</f>
        <v/>
      </c>
    </row>
    <row r="50" spans="8:9" ht="15.75" customHeight="1" x14ac:dyDescent="0.35">
      <c r="H50" s="18">
        <v>45</v>
      </c>
      <c r="I50" s="52" t="str">
        <f>IF(45&gt;SUM($E$6:$E$25),"",INDEX($D$6:$D$25,MATCH(44,$F$6:$F$25,1))+44-INDEX($F$6:$F$25,MATCH(44,$F$6:$F$25,1)))</f>
        <v/>
      </c>
    </row>
    <row r="51" spans="8:9" ht="15.75" customHeight="1" x14ac:dyDescent="0.35">
      <c r="H51" s="18">
        <v>46</v>
      </c>
      <c r="I51" s="52" t="str">
        <f>IF(46&gt;SUM($E$6:$E$25),"",INDEX($D$6:$D$25,MATCH(45,$F$6:$F$25,1))+45-INDEX($F$6:$F$25,MATCH(45,$F$6:$F$25,1)))</f>
        <v/>
      </c>
    </row>
    <row r="52" spans="8:9" ht="15.75" customHeight="1" x14ac:dyDescent="0.35">
      <c r="H52" s="18">
        <v>47</v>
      </c>
      <c r="I52" s="52" t="str">
        <f>IF(47&gt;SUM($E$6:$E$25),"",INDEX($D$6:$D$25,MATCH(46,$F$6:$F$25,1))+46-INDEX($F$6:$F$25,MATCH(46,$F$6:$F$25,1)))</f>
        <v/>
      </c>
    </row>
    <row r="53" spans="8:9" ht="15.75" customHeight="1" x14ac:dyDescent="0.35">
      <c r="H53" s="18">
        <v>48</v>
      </c>
      <c r="I53" s="52" t="str">
        <f>IF(48&gt;SUM($E$6:$E$25),"",INDEX($D$6:$D$25,MATCH(47,$F$6:$F$25,1))+47-INDEX($F$6:$F$25,MATCH(47,$F$6:$F$25,1)))</f>
        <v/>
      </c>
    </row>
    <row r="54" spans="8:9" ht="15.75" customHeight="1" x14ac:dyDescent="0.35">
      <c r="H54" s="18">
        <v>49</v>
      </c>
      <c r="I54" s="52" t="str">
        <f>IF(49&gt;SUM($E$6:$E$25),"",INDEX($D$6:$D$25,MATCH(48,$F$6:$F$25,1))+48-INDEX($F$6:$F$25,MATCH(48,$F$6:$F$25,1)))</f>
        <v/>
      </c>
    </row>
    <row r="55" spans="8:9" ht="15.75" customHeight="1" x14ac:dyDescent="0.35">
      <c r="H55" s="18">
        <v>50</v>
      </c>
      <c r="I55" s="52" t="str">
        <f>IF(50&gt;SUM($E$6:$E$25),"",INDEX($D$6:$D$25,MATCH(49,$F$6:$F$25,1))+49-INDEX($F$6:$F$25,MATCH(49,$F$6:$F$25,1)))</f>
        <v/>
      </c>
    </row>
    <row r="56" spans="8:9" ht="15.75" customHeight="1" x14ac:dyDescent="0.35">
      <c r="H56" s="18">
        <v>51</v>
      </c>
      <c r="I56" s="52" t="str">
        <f>IF(51&gt;SUM($E$6:$E$25),"",INDEX($D$6:$D$25,MATCH(50,$F$6:$F$25,1))+50-INDEX($F$6:$F$25,MATCH(50,$F$6:$F$25,1)))</f>
        <v/>
      </c>
    </row>
    <row r="57" spans="8:9" ht="15.75" customHeight="1" x14ac:dyDescent="0.35">
      <c r="H57" s="18">
        <v>52</v>
      </c>
      <c r="I57" s="52" t="str">
        <f>IF(52&gt;SUM($E$6:$E$25),"",INDEX($D$6:$D$25,MATCH(51,$F$6:$F$25,1))+51-INDEX($F$6:$F$25,MATCH(51,$F$6:$F$25,1)))</f>
        <v/>
      </c>
    </row>
    <row r="58" spans="8:9" ht="15.75" customHeight="1" x14ac:dyDescent="0.35">
      <c r="H58" s="18">
        <v>53</v>
      </c>
      <c r="I58" s="52" t="str">
        <f>IF(53&gt;SUM($E$6:$E$25),"",INDEX($D$6:$D$25,MATCH(52,$F$6:$F$25,1))+52-INDEX($F$6:$F$25,MATCH(52,$F$6:$F$25,1)))</f>
        <v/>
      </c>
    </row>
    <row r="59" spans="8:9" ht="15.75" customHeight="1" x14ac:dyDescent="0.35">
      <c r="H59" s="18">
        <v>54</v>
      </c>
      <c r="I59" s="52" t="str">
        <f>IF(54&gt;SUM($E$6:$E$25),"",INDEX($D$6:$D$25,MATCH(53,$F$6:$F$25,1))+53-INDEX($F$6:$F$25,MATCH(53,$F$6:$F$25,1)))</f>
        <v/>
      </c>
    </row>
    <row r="60" spans="8:9" ht="15.75" customHeight="1" x14ac:dyDescent="0.35">
      <c r="H60" s="18">
        <v>55</v>
      </c>
      <c r="I60" s="52" t="str">
        <f>IF(55&gt;SUM($E$6:$E$25),"",INDEX($D$6:$D$25,MATCH(54,$F$6:$F$25,1))+54-INDEX($F$6:$F$25,MATCH(54,$F$6:$F$25,1)))</f>
        <v/>
      </c>
    </row>
    <row r="61" spans="8:9" ht="15.75" customHeight="1" x14ac:dyDescent="0.35">
      <c r="H61" s="18">
        <v>56</v>
      </c>
      <c r="I61" s="52" t="str">
        <f>IF(56&gt;SUM($E$6:$E$25),"",INDEX($D$6:$D$25,MATCH(55,$F$6:$F$25,1))+55-INDEX($F$6:$F$25,MATCH(55,$F$6:$F$25,1)))</f>
        <v/>
      </c>
    </row>
    <row r="62" spans="8:9" ht="15.75" customHeight="1" x14ac:dyDescent="0.35">
      <c r="H62" s="18">
        <v>57</v>
      </c>
      <c r="I62" s="52" t="str">
        <f>IF(57&gt;SUM($E$6:$E$25),"",INDEX($D$6:$D$25,MATCH(56,$F$6:$F$25,1))+56-INDEX($F$6:$F$25,MATCH(56,$F$6:$F$25,1)))</f>
        <v/>
      </c>
    </row>
    <row r="63" spans="8:9" ht="15.75" customHeight="1" x14ac:dyDescent="0.35">
      <c r="H63" s="18">
        <v>58</v>
      </c>
      <c r="I63" s="52" t="str">
        <f>IF(58&gt;SUM($E$6:$E$25),"",INDEX($D$6:$D$25,MATCH(57,$F$6:$F$25,1))+57-INDEX($F$6:$F$25,MATCH(57,$F$6:$F$25,1)))</f>
        <v/>
      </c>
    </row>
    <row r="64" spans="8:9" ht="15.75" customHeight="1" x14ac:dyDescent="0.35">
      <c r="H64" s="18">
        <v>59</v>
      </c>
      <c r="I64" s="52" t="str">
        <f>IF(59&gt;SUM($E$6:$E$25),"",INDEX($D$6:$D$25,MATCH(58,$F$6:$F$25,1))+58-INDEX($F$6:$F$25,MATCH(58,$F$6:$F$25,1)))</f>
        <v/>
      </c>
    </row>
    <row r="65" spans="8:9" ht="15.75" customHeight="1" x14ac:dyDescent="0.35">
      <c r="H65" s="18">
        <v>60</v>
      </c>
      <c r="I65" s="52" t="str">
        <f>IF(60&gt;SUM($E$6:$E$25),"",INDEX($D$6:$D$25,MATCH(59,$F$6:$F$25,1))+59-INDEX($F$6:$F$25,MATCH(59,$F$6:$F$25,1)))</f>
        <v/>
      </c>
    </row>
  </sheetData>
  <sheetProtection sheet="1" formatCells="0" formatColumns="0" formatRows="0" sort="0" autoFilter="0"/>
  <mergeCells count="4">
    <mergeCell ref="A1:J1"/>
    <mergeCell ref="A2:J2"/>
    <mergeCell ref="J6:J12"/>
    <mergeCell ref="B27:E27"/>
  </mergeCells>
  <printOptions horizontalCentered="1"/>
  <pageMargins left="0.75" right="0.75" top="1" bottom="1" header="0.5" footer="0.5"/>
  <pageSetup fitToHeight="0" orientation="portrait" horizontalDpi="300" verticalDpi="300"/>
  <headerFooter>
    <oddHeader>&amp;C&amp;9 نظام متابعة الحضور والانصراف — السعودية</oddHeader>
    <oddFooter>&amp;L&amp;8 نظام العمل السعودي وتعديلاته النافذة 19/02/2025&amp;R&amp;P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48"/>
  <sheetViews>
    <sheetView showGridLines="0" rightToLeft="1" zoomScaleNormal="100" workbookViewId="0">
      <pane xSplit="4" ySplit="7" topLeftCell="E8" activePane="bottomRight" state="frozen"/>
      <selection pane="topRight" activeCell="E1" sqref="E1"/>
      <selection pane="bottomLeft" activeCell="A8" sqref="A8"/>
      <selection pane="bottomRight" activeCell="J9" sqref="J9"/>
    </sheetView>
  </sheetViews>
  <sheetFormatPr defaultColWidth="8.6328125" defaultRowHeight="14.5" x14ac:dyDescent="0.35"/>
  <cols>
    <col min="1" max="1" width="5" customWidth="1"/>
    <col min="2" max="2" width="13" customWidth="1"/>
    <col min="3" max="3" width="24" customWidth="1"/>
    <col min="4" max="4" width="15" customWidth="1"/>
    <col min="5" max="5" width="11" customWidth="1"/>
    <col min="6" max="7" width="10" customWidth="1"/>
    <col min="8" max="8" width="11" customWidth="1"/>
    <col min="9" max="9" width="12.453125" bestFit="1" customWidth="1"/>
    <col min="10" max="10" width="11" customWidth="1"/>
    <col min="11" max="11" width="10" customWidth="1"/>
    <col min="12" max="42" width="4.6328125" customWidth="1"/>
    <col min="43" max="50" width="6.54296875" customWidth="1"/>
  </cols>
  <sheetData>
    <row r="1" spans="1:50" ht="30" customHeight="1" x14ac:dyDescent="0.35">
      <c r="A1" s="14" t="s">
        <v>316</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ht="18" customHeight="1" x14ac:dyDescent="0.35">
      <c r="A2" s="13" t="s">
        <v>317</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row>
    <row r="3" spans="1:50" ht="19.5" customHeight="1" x14ac:dyDescent="0.35">
      <c r="A3" s="53" t="s">
        <v>82</v>
      </c>
      <c r="B3" s="44" t="str">
        <f>الإعدادات!$C$14</f>
        <v>أغسطس 2026</v>
      </c>
      <c r="C3" s="53" t="s">
        <v>318</v>
      </c>
      <c r="D3" s="54">
        <f>الإعدادات!$C$15</f>
        <v>31</v>
      </c>
      <c r="E3" s="53" t="s">
        <v>319</v>
      </c>
      <c r="F3" s="44" t="str">
        <f>الإعدادات!$C$16</f>
        <v>الجمعة-السبت</v>
      </c>
      <c r="G3" s="53" t="s">
        <v>320</v>
      </c>
      <c r="H3" s="55">
        <f>IFERROR(AVERAGE(I8:I47),0)</f>
        <v>0.8734848484848482</v>
      </c>
      <c r="I3" s="53" t="s">
        <v>321</v>
      </c>
      <c r="J3" s="56">
        <f>SUM(J8:J47)</f>
        <v>3462</v>
      </c>
    </row>
    <row r="5" spans="1:50" ht="33.75" customHeight="1" x14ac:dyDescent="0.35">
      <c r="A5" s="5" t="s">
        <v>200</v>
      </c>
      <c r="B5" s="5" t="s">
        <v>201</v>
      </c>
      <c r="C5" s="5" t="s">
        <v>202</v>
      </c>
      <c r="D5" s="5" t="s">
        <v>203</v>
      </c>
      <c r="E5" s="5" t="s">
        <v>322</v>
      </c>
      <c r="F5" s="5" t="s">
        <v>323</v>
      </c>
      <c r="G5" s="5" t="s">
        <v>146</v>
      </c>
      <c r="H5" s="5" t="s">
        <v>324</v>
      </c>
      <c r="I5" s="5" t="s">
        <v>325</v>
      </c>
      <c r="J5" s="5" t="s">
        <v>326</v>
      </c>
      <c r="K5" s="5" t="s">
        <v>327</v>
      </c>
      <c r="L5" s="57">
        <f>IF(1&lt;=الإعدادات!$C$15,DATE(الإعدادات!$C$12,الإعدادات!$C$13,1),"")</f>
        <v>46235</v>
      </c>
      <c r="M5" s="57">
        <f>IF(2&lt;=الإعدادات!$C$15,DATE(الإعدادات!$C$12,الإعدادات!$C$13,2),"")</f>
        <v>46236</v>
      </c>
      <c r="N5" s="57">
        <f>IF(3&lt;=الإعدادات!$C$15,DATE(الإعدادات!$C$12,الإعدادات!$C$13,3),"")</f>
        <v>46237</v>
      </c>
      <c r="O5" s="57">
        <f>IF(4&lt;=الإعدادات!$C$15,DATE(الإعدادات!$C$12,الإعدادات!$C$13,4),"")</f>
        <v>46238</v>
      </c>
      <c r="P5" s="57">
        <f>IF(5&lt;=الإعدادات!$C$15,DATE(الإعدادات!$C$12,الإعدادات!$C$13,5),"")</f>
        <v>46239</v>
      </c>
      <c r="Q5" s="57">
        <f>IF(6&lt;=الإعدادات!$C$15,DATE(الإعدادات!$C$12,الإعدادات!$C$13,6),"")</f>
        <v>46240</v>
      </c>
      <c r="R5" s="57">
        <f>IF(7&lt;=الإعدادات!$C$15,DATE(الإعدادات!$C$12,الإعدادات!$C$13,7),"")</f>
        <v>46241</v>
      </c>
      <c r="S5" s="57">
        <f>IF(8&lt;=الإعدادات!$C$15,DATE(الإعدادات!$C$12,الإعدادات!$C$13,8),"")</f>
        <v>46242</v>
      </c>
      <c r="T5" s="57">
        <f>IF(9&lt;=الإعدادات!$C$15,DATE(الإعدادات!$C$12,الإعدادات!$C$13,9),"")</f>
        <v>46243</v>
      </c>
      <c r="U5" s="57">
        <f>IF(10&lt;=الإعدادات!$C$15,DATE(الإعدادات!$C$12,الإعدادات!$C$13,10),"")</f>
        <v>46244</v>
      </c>
      <c r="V5" s="57">
        <f>IF(11&lt;=الإعدادات!$C$15,DATE(الإعدادات!$C$12,الإعدادات!$C$13,11),"")</f>
        <v>46245</v>
      </c>
      <c r="W5" s="57">
        <f>IF(12&lt;=الإعدادات!$C$15,DATE(الإعدادات!$C$12,الإعدادات!$C$13,12),"")</f>
        <v>46246</v>
      </c>
      <c r="X5" s="57">
        <f>IF(13&lt;=الإعدادات!$C$15,DATE(الإعدادات!$C$12,الإعدادات!$C$13,13),"")</f>
        <v>46247</v>
      </c>
      <c r="Y5" s="57">
        <f>IF(14&lt;=الإعدادات!$C$15,DATE(الإعدادات!$C$12,الإعدادات!$C$13,14),"")</f>
        <v>46248</v>
      </c>
      <c r="Z5" s="57">
        <f>IF(15&lt;=الإعدادات!$C$15,DATE(الإعدادات!$C$12,الإعدادات!$C$13,15),"")</f>
        <v>46249</v>
      </c>
      <c r="AA5" s="57">
        <f>IF(16&lt;=الإعدادات!$C$15,DATE(الإعدادات!$C$12,الإعدادات!$C$13,16),"")</f>
        <v>46250</v>
      </c>
      <c r="AB5" s="57">
        <f>IF(17&lt;=الإعدادات!$C$15,DATE(الإعدادات!$C$12,الإعدادات!$C$13,17),"")</f>
        <v>46251</v>
      </c>
      <c r="AC5" s="57">
        <f>IF(18&lt;=الإعدادات!$C$15,DATE(الإعدادات!$C$12,الإعدادات!$C$13,18),"")</f>
        <v>46252</v>
      </c>
      <c r="AD5" s="57">
        <f>IF(19&lt;=الإعدادات!$C$15,DATE(الإعدادات!$C$12,الإعدادات!$C$13,19),"")</f>
        <v>46253</v>
      </c>
      <c r="AE5" s="57">
        <f>IF(20&lt;=الإعدادات!$C$15,DATE(الإعدادات!$C$12,الإعدادات!$C$13,20),"")</f>
        <v>46254</v>
      </c>
      <c r="AF5" s="57">
        <f>IF(21&lt;=الإعدادات!$C$15,DATE(الإعدادات!$C$12,الإعدادات!$C$13,21),"")</f>
        <v>46255</v>
      </c>
      <c r="AG5" s="57">
        <f>IF(22&lt;=الإعدادات!$C$15,DATE(الإعدادات!$C$12,الإعدادات!$C$13,22),"")</f>
        <v>46256</v>
      </c>
      <c r="AH5" s="57">
        <f>IF(23&lt;=الإعدادات!$C$15,DATE(الإعدادات!$C$12,الإعدادات!$C$13,23),"")</f>
        <v>46257</v>
      </c>
      <c r="AI5" s="57">
        <f>IF(24&lt;=الإعدادات!$C$15,DATE(الإعدادات!$C$12,الإعدادات!$C$13,24),"")</f>
        <v>46258</v>
      </c>
      <c r="AJ5" s="57">
        <f>IF(25&lt;=الإعدادات!$C$15,DATE(الإعدادات!$C$12,الإعدادات!$C$13,25),"")</f>
        <v>46259</v>
      </c>
      <c r="AK5" s="57">
        <f>IF(26&lt;=الإعدادات!$C$15,DATE(الإعدادات!$C$12,الإعدادات!$C$13,26),"")</f>
        <v>46260</v>
      </c>
      <c r="AL5" s="57">
        <f>IF(27&lt;=الإعدادات!$C$15,DATE(الإعدادات!$C$12,الإعدادات!$C$13,27),"")</f>
        <v>46261</v>
      </c>
      <c r="AM5" s="57">
        <f>IF(28&lt;=الإعدادات!$C$15,DATE(الإعدادات!$C$12,الإعدادات!$C$13,28),"")</f>
        <v>46262</v>
      </c>
      <c r="AN5" s="57">
        <f>IF(29&lt;=الإعدادات!$C$15,DATE(الإعدادات!$C$12,الإعدادات!$C$13,29),"")</f>
        <v>46263</v>
      </c>
      <c r="AO5" s="57">
        <f>IF(30&lt;=الإعدادات!$C$15,DATE(الإعدادات!$C$12,الإعدادات!$C$13,30),"")</f>
        <v>46264</v>
      </c>
      <c r="AP5" s="57">
        <f>IF(31&lt;=الإعدادات!$C$15,DATE(الإعدادات!$C$12,الإعدادات!$C$13,31),"")</f>
        <v>46265</v>
      </c>
      <c r="AQ5" s="4" t="s">
        <v>151</v>
      </c>
      <c r="AR5" s="4" t="s">
        <v>194</v>
      </c>
      <c r="AS5" s="4" t="s">
        <v>328</v>
      </c>
      <c r="AT5" s="4" t="s">
        <v>329</v>
      </c>
      <c r="AU5" s="4" t="s">
        <v>330</v>
      </c>
      <c r="AV5" s="4" t="s">
        <v>331</v>
      </c>
      <c r="AW5" s="4" t="s">
        <v>332</v>
      </c>
      <c r="AX5" s="4" t="s">
        <v>333</v>
      </c>
    </row>
    <row r="6" spans="1:50" ht="15" customHeight="1" x14ac:dyDescent="0.35">
      <c r="A6" s="5"/>
      <c r="B6" s="5"/>
      <c r="C6" s="5"/>
      <c r="D6" s="5"/>
      <c r="E6" s="5"/>
      <c r="F6" s="5"/>
      <c r="G6" s="5"/>
      <c r="H6" s="5"/>
      <c r="I6" s="5"/>
      <c r="J6" s="5"/>
      <c r="K6" s="5"/>
      <c r="L6" s="58">
        <f>IF(L5="","",1)</f>
        <v>1</v>
      </c>
      <c r="M6" s="58">
        <f>IF(M5="","",2)</f>
        <v>2</v>
      </c>
      <c r="N6" s="58">
        <f>IF(N5="","",3)</f>
        <v>3</v>
      </c>
      <c r="O6" s="58">
        <f>IF(O5="","",4)</f>
        <v>4</v>
      </c>
      <c r="P6" s="58">
        <f>IF(P5="","",5)</f>
        <v>5</v>
      </c>
      <c r="Q6" s="58">
        <f>IF(Q5="","",6)</f>
        <v>6</v>
      </c>
      <c r="R6" s="58">
        <f>IF(R5="","",7)</f>
        <v>7</v>
      </c>
      <c r="S6" s="58">
        <f>IF(S5="","",8)</f>
        <v>8</v>
      </c>
      <c r="T6" s="58">
        <f>IF(T5="","",9)</f>
        <v>9</v>
      </c>
      <c r="U6" s="58">
        <f>IF(U5="","",10)</f>
        <v>10</v>
      </c>
      <c r="V6" s="58">
        <f>IF(V5="","",11)</f>
        <v>11</v>
      </c>
      <c r="W6" s="58">
        <f>IF(W5="","",12)</f>
        <v>12</v>
      </c>
      <c r="X6" s="58">
        <f>IF(X5="","",13)</f>
        <v>13</v>
      </c>
      <c r="Y6" s="58">
        <f>IF(Y5="","",14)</f>
        <v>14</v>
      </c>
      <c r="Z6" s="58">
        <f>IF(Z5="","",15)</f>
        <v>15</v>
      </c>
      <c r="AA6" s="58">
        <f>IF(AA5="","",16)</f>
        <v>16</v>
      </c>
      <c r="AB6" s="58">
        <f>IF(AB5="","",17)</f>
        <v>17</v>
      </c>
      <c r="AC6" s="58">
        <f>IF(AC5="","",18)</f>
        <v>18</v>
      </c>
      <c r="AD6" s="58">
        <f>IF(AD5="","",19)</f>
        <v>19</v>
      </c>
      <c r="AE6" s="58">
        <f>IF(AE5="","",20)</f>
        <v>20</v>
      </c>
      <c r="AF6" s="58">
        <f>IF(AF5="","",21)</f>
        <v>21</v>
      </c>
      <c r="AG6" s="58">
        <f>IF(AG5="","",22)</f>
        <v>22</v>
      </c>
      <c r="AH6" s="58">
        <f>IF(AH5="","",23)</f>
        <v>23</v>
      </c>
      <c r="AI6" s="58">
        <f>IF(AI5="","",24)</f>
        <v>24</v>
      </c>
      <c r="AJ6" s="58">
        <f>IF(AJ5="","",25)</f>
        <v>25</v>
      </c>
      <c r="AK6" s="58">
        <f>IF(AK5="","",26)</f>
        <v>26</v>
      </c>
      <c r="AL6" s="58">
        <f>IF(AL5="","",27)</f>
        <v>27</v>
      </c>
      <c r="AM6" s="58">
        <f>IF(AM5="","",28)</f>
        <v>28</v>
      </c>
      <c r="AN6" s="58">
        <f>IF(AN5="","",29)</f>
        <v>29</v>
      </c>
      <c r="AO6" s="58">
        <f>IF(AO5="","",30)</f>
        <v>30</v>
      </c>
      <c r="AP6" s="58">
        <f>IF(AP5="","",31)</f>
        <v>31</v>
      </c>
      <c r="AQ6" s="4"/>
      <c r="AR6" s="4"/>
      <c r="AS6" s="4"/>
      <c r="AT6" s="4"/>
      <c r="AU6" s="4"/>
      <c r="AV6" s="4"/>
      <c r="AW6" s="4"/>
      <c r="AX6" s="4"/>
    </row>
    <row r="7" spans="1:50" ht="15" customHeight="1" x14ac:dyDescent="0.35">
      <c r="A7" s="3" t="s">
        <v>334</v>
      </c>
      <c r="B7" s="3"/>
      <c r="C7" s="3"/>
      <c r="D7" s="3"/>
      <c r="E7" s="3"/>
      <c r="F7" s="3"/>
      <c r="G7" s="3"/>
      <c r="H7" s="3"/>
      <c r="I7" s="3"/>
      <c r="J7" s="3"/>
      <c r="K7" s="3"/>
      <c r="L7" s="59" t="str">
        <f>IF(L$5="","",IF(COUNTIF(التقويم!$I$6:$I$65,L$5)&gt;0,"ط",IF(OR(WEEKDAY(L$5,1)=الإعدادات!$C$17,WEEKDAY(L$5,1)=الإعدادات!$C$18),"ر","ع")))</f>
        <v>ر</v>
      </c>
      <c r="M7" s="59" t="str">
        <f>IF(M$5="","",IF(COUNTIF(التقويم!$I$6:$I$65,M$5)&gt;0,"ط",IF(OR(WEEKDAY(M$5,1)=الإعدادات!$C$17,WEEKDAY(M$5,1)=الإعدادات!$C$18),"ر","ع")))</f>
        <v>ع</v>
      </c>
      <c r="N7" s="59" t="str">
        <f>IF(N$5="","",IF(COUNTIF(التقويم!$I$6:$I$65,N$5)&gt;0,"ط",IF(OR(WEEKDAY(N$5,1)=الإعدادات!$C$17,WEEKDAY(N$5,1)=الإعدادات!$C$18),"ر","ع")))</f>
        <v>ع</v>
      </c>
      <c r="O7" s="59" t="str">
        <f>IF(O$5="","",IF(COUNTIF(التقويم!$I$6:$I$65,O$5)&gt;0,"ط",IF(OR(WEEKDAY(O$5,1)=الإعدادات!$C$17,WEEKDAY(O$5,1)=الإعدادات!$C$18),"ر","ع")))</f>
        <v>ع</v>
      </c>
      <c r="P7" s="59" t="str">
        <f>IF(P$5="","",IF(COUNTIF(التقويم!$I$6:$I$65,P$5)&gt;0,"ط",IF(OR(WEEKDAY(P$5,1)=الإعدادات!$C$17,WEEKDAY(P$5,1)=الإعدادات!$C$18),"ر","ع")))</f>
        <v>ع</v>
      </c>
      <c r="Q7" s="59" t="str">
        <f>IF(Q$5="","",IF(COUNTIF(التقويم!$I$6:$I$65,Q$5)&gt;0,"ط",IF(OR(WEEKDAY(Q$5,1)=الإعدادات!$C$17,WEEKDAY(Q$5,1)=الإعدادات!$C$18),"ر","ع")))</f>
        <v>ع</v>
      </c>
      <c r="R7" s="59" t="str">
        <f>IF(R$5="","",IF(COUNTIF(التقويم!$I$6:$I$65,R$5)&gt;0,"ط",IF(OR(WEEKDAY(R$5,1)=الإعدادات!$C$17,WEEKDAY(R$5,1)=الإعدادات!$C$18),"ر","ع")))</f>
        <v>ر</v>
      </c>
      <c r="S7" s="59" t="str">
        <f>IF(S$5="","",IF(COUNTIF(التقويم!$I$6:$I$65,S$5)&gt;0,"ط",IF(OR(WEEKDAY(S$5,1)=الإعدادات!$C$17,WEEKDAY(S$5,1)=الإعدادات!$C$18),"ر","ع")))</f>
        <v>ر</v>
      </c>
      <c r="T7" s="59" t="str">
        <f>IF(T$5="","",IF(COUNTIF(التقويم!$I$6:$I$65,T$5)&gt;0,"ط",IF(OR(WEEKDAY(T$5,1)=الإعدادات!$C$17,WEEKDAY(T$5,1)=الإعدادات!$C$18),"ر","ع")))</f>
        <v>ع</v>
      </c>
      <c r="U7" s="59" t="str">
        <f>IF(U$5="","",IF(COUNTIF(التقويم!$I$6:$I$65,U$5)&gt;0,"ط",IF(OR(WEEKDAY(U$5,1)=الإعدادات!$C$17,WEEKDAY(U$5,1)=الإعدادات!$C$18),"ر","ع")))</f>
        <v>ع</v>
      </c>
      <c r="V7" s="59" t="str">
        <f>IF(V$5="","",IF(COUNTIF(التقويم!$I$6:$I$65,V$5)&gt;0,"ط",IF(OR(WEEKDAY(V$5,1)=الإعدادات!$C$17,WEEKDAY(V$5,1)=الإعدادات!$C$18),"ر","ع")))</f>
        <v>ع</v>
      </c>
      <c r="W7" s="59" t="str">
        <f>IF(W$5="","",IF(COUNTIF(التقويم!$I$6:$I$65,W$5)&gt;0,"ط",IF(OR(WEEKDAY(W$5,1)=الإعدادات!$C$17,WEEKDAY(W$5,1)=الإعدادات!$C$18),"ر","ع")))</f>
        <v>ع</v>
      </c>
      <c r="X7" s="59" t="str">
        <f>IF(X$5="","",IF(COUNTIF(التقويم!$I$6:$I$65,X$5)&gt;0,"ط",IF(OR(WEEKDAY(X$5,1)=الإعدادات!$C$17,WEEKDAY(X$5,1)=الإعدادات!$C$18),"ر","ع")))</f>
        <v>ع</v>
      </c>
      <c r="Y7" s="59" t="str">
        <f>IF(Y$5="","",IF(COUNTIF(التقويم!$I$6:$I$65,Y$5)&gt;0,"ط",IF(OR(WEEKDAY(Y$5,1)=الإعدادات!$C$17,WEEKDAY(Y$5,1)=الإعدادات!$C$18),"ر","ع")))</f>
        <v>ر</v>
      </c>
      <c r="Z7" s="59" t="str">
        <f>IF(Z$5="","",IF(COUNTIF(التقويم!$I$6:$I$65,Z$5)&gt;0,"ط",IF(OR(WEEKDAY(Z$5,1)=الإعدادات!$C$17,WEEKDAY(Z$5,1)=الإعدادات!$C$18),"ر","ع")))</f>
        <v>ر</v>
      </c>
      <c r="AA7" s="59" t="str">
        <f>IF(AA$5="","",IF(COUNTIF(التقويم!$I$6:$I$65,AA$5)&gt;0,"ط",IF(OR(WEEKDAY(AA$5,1)=الإعدادات!$C$17,WEEKDAY(AA$5,1)=الإعدادات!$C$18),"ر","ع")))</f>
        <v>ع</v>
      </c>
      <c r="AB7" s="59" t="str">
        <f>IF(AB$5="","",IF(COUNTIF(التقويم!$I$6:$I$65,AB$5)&gt;0,"ط",IF(OR(WEEKDAY(AB$5,1)=الإعدادات!$C$17,WEEKDAY(AB$5,1)=الإعدادات!$C$18),"ر","ع")))</f>
        <v>ع</v>
      </c>
      <c r="AC7" s="59" t="str">
        <f>IF(AC$5="","",IF(COUNTIF(التقويم!$I$6:$I$65,AC$5)&gt;0,"ط",IF(OR(WEEKDAY(AC$5,1)=الإعدادات!$C$17,WEEKDAY(AC$5,1)=الإعدادات!$C$18),"ر","ع")))</f>
        <v>ع</v>
      </c>
      <c r="AD7" s="59" t="str">
        <f>IF(AD$5="","",IF(COUNTIF(التقويم!$I$6:$I$65,AD$5)&gt;0,"ط",IF(OR(WEEKDAY(AD$5,1)=الإعدادات!$C$17,WEEKDAY(AD$5,1)=الإعدادات!$C$18),"ر","ع")))</f>
        <v>ع</v>
      </c>
      <c r="AE7" s="59" t="str">
        <f>IF(AE$5="","",IF(COUNTIF(التقويم!$I$6:$I$65,AE$5)&gt;0,"ط",IF(OR(WEEKDAY(AE$5,1)=الإعدادات!$C$17,WEEKDAY(AE$5,1)=الإعدادات!$C$18),"ر","ع")))</f>
        <v>ع</v>
      </c>
      <c r="AF7" s="59" t="str">
        <f>IF(AF$5="","",IF(COUNTIF(التقويم!$I$6:$I$65,AF$5)&gt;0,"ط",IF(OR(WEEKDAY(AF$5,1)=الإعدادات!$C$17,WEEKDAY(AF$5,1)=الإعدادات!$C$18),"ر","ع")))</f>
        <v>ر</v>
      </c>
      <c r="AG7" s="59" t="str">
        <f>IF(AG$5="","",IF(COUNTIF(التقويم!$I$6:$I$65,AG$5)&gt;0,"ط",IF(OR(WEEKDAY(AG$5,1)=الإعدادات!$C$17,WEEKDAY(AG$5,1)=الإعدادات!$C$18),"ر","ع")))</f>
        <v>ر</v>
      </c>
      <c r="AH7" s="59" t="str">
        <f>IF(AH$5="","",IF(COUNTIF(التقويم!$I$6:$I$65,AH$5)&gt;0,"ط",IF(OR(WEEKDAY(AH$5,1)=الإعدادات!$C$17,WEEKDAY(AH$5,1)=الإعدادات!$C$18),"ر","ع")))</f>
        <v>ع</v>
      </c>
      <c r="AI7" s="59" t="str">
        <f>IF(AI$5="","",IF(COUNTIF(التقويم!$I$6:$I$65,AI$5)&gt;0,"ط",IF(OR(WEEKDAY(AI$5,1)=الإعدادات!$C$17,WEEKDAY(AI$5,1)=الإعدادات!$C$18),"ر","ع")))</f>
        <v>ع</v>
      </c>
      <c r="AJ7" s="59" t="str">
        <f>IF(AJ$5="","",IF(COUNTIF(التقويم!$I$6:$I$65,AJ$5)&gt;0,"ط",IF(OR(WEEKDAY(AJ$5,1)=الإعدادات!$C$17,WEEKDAY(AJ$5,1)=الإعدادات!$C$18),"ر","ع")))</f>
        <v>ع</v>
      </c>
      <c r="AK7" s="59" t="str">
        <f>IF(AK$5="","",IF(COUNTIF(التقويم!$I$6:$I$65,AK$5)&gt;0,"ط",IF(OR(WEEKDAY(AK$5,1)=الإعدادات!$C$17,WEEKDAY(AK$5,1)=الإعدادات!$C$18),"ر","ع")))</f>
        <v>ع</v>
      </c>
      <c r="AL7" s="59" t="str">
        <f>IF(AL$5="","",IF(COUNTIF(التقويم!$I$6:$I$65,AL$5)&gt;0,"ط",IF(OR(WEEKDAY(AL$5,1)=الإعدادات!$C$17,WEEKDAY(AL$5,1)=الإعدادات!$C$18),"ر","ع")))</f>
        <v>ع</v>
      </c>
      <c r="AM7" s="59" t="str">
        <f>IF(AM$5="","",IF(COUNTIF(التقويم!$I$6:$I$65,AM$5)&gt;0,"ط",IF(OR(WEEKDAY(AM$5,1)=الإعدادات!$C$17,WEEKDAY(AM$5,1)=الإعدادات!$C$18),"ر","ع")))</f>
        <v>ر</v>
      </c>
      <c r="AN7" s="59" t="str">
        <f>IF(AN$5="","",IF(COUNTIF(التقويم!$I$6:$I$65,AN$5)&gt;0,"ط",IF(OR(WEEKDAY(AN$5,1)=الإعدادات!$C$17,WEEKDAY(AN$5,1)=الإعدادات!$C$18),"ر","ع")))</f>
        <v>ر</v>
      </c>
      <c r="AO7" s="59" t="str">
        <f>IF(AO$5="","",IF(COUNTIF(التقويم!$I$6:$I$65,AO$5)&gt;0,"ط",IF(OR(WEEKDAY(AO$5,1)=الإعدادات!$C$17,WEEKDAY(AO$5,1)=الإعدادات!$C$18),"ر","ع")))</f>
        <v>ع</v>
      </c>
      <c r="AP7" s="59" t="str">
        <f>IF(AP$5="","",IF(COUNTIF(التقويم!$I$6:$I$65,AP$5)&gt;0,"ط",IF(OR(WEEKDAY(AP$5,1)=الإعدادات!$C$17,WEEKDAY(AP$5,1)=الإعدادات!$C$18),"ر","ع")))</f>
        <v>ع</v>
      </c>
      <c r="AQ7" s="60"/>
      <c r="AR7" s="60"/>
      <c r="AS7" s="60"/>
      <c r="AT7" s="60"/>
      <c r="AU7" s="60"/>
      <c r="AV7" s="60"/>
      <c r="AW7" s="60"/>
      <c r="AX7" s="60"/>
    </row>
    <row r="8" spans="1:50" ht="16.5" customHeight="1" x14ac:dyDescent="0.35">
      <c r="A8" s="18">
        <v>1</v>
      </c>
      <c r="B8" s="30" t="s">
        <v>215</v>
      </c>
      <c r="C8" s="61" t="str">
        <f>IF($B8="","",IFERROR(INDEX(الموظفون!$C$6:$C$45,MATCH($B8,الموظفون!$B$6:$B$45,0)),""))</f>
        <v>أحمد محمد الشريف</v>
      </c>
      <c r="D8" s="62" t="str">
        <f>IF($B8="","",IFERROR(INDEX(الموظفون!$D$6:$D$45,MATCH($B8,الموظفون!$B$6:$B$45,0)),""))</f>
        <v>العمليات</v>
      </c>
      <c r="E8" s="51">
        <f t="shared" ref="E8:E47" si="0">IF($B8="","",COUNTIF($L$7:$AP$7,"ع")-COUNTIFS($L8:$AP8,"W",$L$7:$AP$7,"ع"))</f>
        <v>22</v>
      </c>
      <c r="F8" s="46">
        <f t="shared" ref="F8:F47" si="1">IF($B8="","",COUNTIF($L8:$AP8,"P")+COUNTIF($L8:$AP8,"BT")+0.5*COUNTIF($L8:$AP8,"H"))</f>
        <v>22</v>
      </c>
      <c r="G8" s="51">
        <f t="shared" ref="G8:G47" si="2">IF($B8="","",COUNTIF($L8:$AP8,"A"))</f>
        <v>0</v>
      </c>
      <c r="H8" s="51">
        <f t="shared" ref="H8:H47" si="3">IF($B8="","",COUNTIF($L8:$AP8,"AL")+COUNTIF($L8:$AP8,"S1")+COUNTIF($L8:$AP8,"S2")+COUNTIF($L8:$AP8,"WI")+COUNTIF($L8:$AP8,"ML")+COUNTIF($L8:$AP8,"MR")+COUNTIF($L8:$AP8,"BR")+COUNTIF($L8:$AP8,"HJ")+COUNTIF($L8:$AP8,"EX")+COUNTIF($L8:$AP8,"ID"))</f>
        <v>0</v>
      </c>
      <c r="I8" s="63">
        <f t="shared" ref="I8:I47" si="4">IF(OR($B8="",$E8=0),"",$F8/$E8)</f>
        <v>1</v>
      </c>
      <c r="J8" s="64">
        <f>IF($B8="","",SUMIFS(التوقيت!$G$6:$G$405,التوقيت!$B$6:$B$405,$B8))</f>
        <v>75</v>
      </c>
      <c r="K8" s="46">
        <f>IF($B8="","",SUMIFS(التوقيت!$I$6:$I$405,التوقيت!$B$6:$B$405,$B8))</f>
        <v>0</v>
      </c>
      <c r="L8" s="65" t="s">
        <v>169</v>
      </c>
      <c r="M8" s="65" t="s">
        <v>137</v>
      </c>
      <c r="N8" s="65" t="s">
        <v>137</v>
      </c>
      <c r="O8" s="65" t="s">
        <v>137</v>
      </c>
      <c r="P8" s="65" t="s">
        <v>137</v>
      </c>
      <c r="Q8" s="65" t="s">
        <v>137</v>
      </c>
      <c r="R8" s="65" t="s">
        <v>169</v>
      </c>
      <c r="S8" s="65" t="s">
        <v>169</v>
      </c>
      <c r="T8" s="65" t="s">
        <v>137</v>
      </c>
      <c r="U8" s="65" t="s">
        <v>137</v>
      </c>
      <c r="V8" s="65" t="s">
        <v>137</v>
      </c>
      <c r="W8" s="65" t="s">
        <v>137</v>
      </c>
      <c r="X8" s="65" t="s">
        <v>137</v>
      </c>
      <c r="Y8" s="65" t="s">
        <v>169</v>
      </c>
      <c r="Z8" s="65" t="s">
        <v>169</v>
      </c>
      <c r="AA8" s="65" t="s">
        <v>137</v>
      </c>
      <c r="AB8" s="65" t="s">
        <v>137</v>
      </c>
      <c r="AC8" s="65" t="s">
        <v>137</v>
      </c>
      <c r="AD8" s="65" t="s">
        <v>137</v>
      </c>
      <c r="AE8" s="65" t="s">
        <v>137</v>
      </c>
      <c r="AF8" s="65" t="s">
        <v>169</v>
      </c>
      <c r="AG8" s="65" t="s">
        <v>169</v>
      </c>
      <c r="AH8" s="65" t="s">
        <v>137</v>
      </c>
      <c r="AI8" s="65" t="s">
        <v>137</v>
      </c>
      <c r="AJ8" s="65" t="s">
        <v>137</v>
      </c>
      <c r="AK8" s="65" t="s">
        <v>137</v>
      </c>
      <c r="AL8" s="65" t="s">
        <v>137</v>
      </c>
      <c r="AM8" s="65" t="s">
        <v>169</v>
      </c>
      <c r="AN8" s="65" t="s">
        <v>169</v>
      </c>
      <c r="AO8" s="65" t="s">
        <v>137</v>
      </c>
      <c r="AP8" s="65" t="s">
        <v>137</v>
      </c>
      <c r="AQ8" s="66">
        <f t="shared" ref="AQ8:AQ47" si="5">IF($B8="","",COUNTIF($L8:$AP8,"AL"))</f>
        <v>0</v>
      </c>
      <c r="AR8" s="66">
        <f t="shared" ref="AR8:AR47" si="6">IF($B8="","",COUNTIF($L8:$AP8,"ID"))</f>
        <v>0</v>
      </c>
      <c r="AS8" s="66">
        <f t="shared" ref="AS8:AS47" si="7">IF($B8="","",COUNTIF($L8:$AP8,"S1"))</f>
        <v>0</v>
      </c>
      <c r="AT8" s="66">
        <f t="shared" ref="AT8:AT47" si="8">IF($B8="","",COUNTIF($L8:$AP8,"S2"))</f>
        <v>0</v>
      </c>
      <c r="AU8" s="66">
        <f t="shared" ref="AU8:AU47" si="9">IF($B8="","",COUNTIF($L8:$AP8,"S3"))</f>
        <v>0</v>
      </c>
      <c r="AV8" s="66">
        <f t="shared" ref="AV8:AV47" si="10">IF($B8="","",COUNTIF($L8:$AP8,"UL"))</f>
        <v>0</v>
      </c>
      <c r="AW8" s="66">
        <f t="shared" ref="AW8:AW47" si="11">IF($B8="","",COUNTIF($L8:$AP8,"PH"))</f>
        <v>0</v>
      </c>
      <c r="AX8" s="66">
        <f t="shared" ref="AX8:AX47" si="12">IF($B8="","",COUNTIF($L8:$AP8,"W"))</f>
        <v>9</v>
      </c>
    </row>
    <row r="9" spans="1:50" ht="16.5" customHeight="1" x14ac:dyDescent="0.35">
      <c r="A9" s="18">
        <v>2</v>
      </c>
      <c r="B9" s="30" t="s">
        <v>222</v>
      </c>
      <c r="C9" s="61" t="str">
        <f>IF($B9="","",IFERROR(INDEX(الموظفون!$C$6:$C$45,MATCH($B9,الموظفون!$B$6:$B$45,0)),""))</f>
        <v>عبدالله القحطاني</v>
      </c>
      <c r="D9" s="62" t="str">
        <f>IF($B9="","",IFERROR(INDEX(الموظفون!$D$6:$D$45,MATCH($B9,الموظفون!$B$6:$B$45,0)),""))</f>
        <v>العمليات</v>
      </c>
      <c r="E9" s="51">
        <f t="shared" si="0"/>
        <v>22</v>
      </c>
      <c r="F9" s="46">
        <f t="shared" si="1"/>
        <v>17</v>
      </c>
      <c r="G9" s="51">
        <f t="shared" si="2"/>
        <v>3</v>
      </c>
      <c r="H9" s="51">
        <f t="shared" si="3"/>
        <v>1</v>
      </c>
      <c r="I9" s="63">
        <f t="shared" si="4"/>
        <v>0.77272727272727271</v>
      </c>
      <c r="J9" s="64">
        <f>IF($B9="","",SUMIFS(التوقيت!$G$6:$G$405,التوقيت!$B$6:$B$405,$B9))</f>
        <v>20</v>
      </c>
      <c r="K9" s="46">
        <f>IF($B9="","",SUMIFS(التوقيت!$I$6:$I$405,التوقيت!$B$6:$B$405,$B9))</f>
        <v>1</v>
      </c>
      <c r="L9" s="65" t="s">
        <v>169</v>
      </c>
      <c r="M9" s="65" t="s">
        <v>145</v>
      </c>
      <c r="N9" s="65" t="s">
        <v>145</v>
      </c>
      <c r="O9" s="65" t="s">
        <v>137</v>
      </c>
      <c r="P9" s="65" t="s">
        <v>137</v>
      </c>
      <c r="Q9" s="65" t="s">
        <v>137</v>
      </c>
      <c r="R9" s="65" t="s">
        <v>169</v>
      </c>
      <c r="S9" s="65" t="s">
        <v>169</v>
      </c>
      <c r="T9" s="65" t="s">
        <v>137</v>
      </c>
      <c r="U9" s="65" t="s">
        <v>145</v>
      </c>
      <c r="V9" s="65" t="s">
        <v>137</v>
      </c>
      <c r="W9" s="65" t="s">
        <v>137</v>
      </c>
      <c r="X9" s="65" t="s">
        <v>142</v>
      </c>
      <c r="Y9" s="65" t="s">
        <v>169</v>
      </c>
      <c r="Z9" s="65" t="s">
        <v>169</v>
      </c>
      <c r="AA9" s="65" t="s">
        <v>142</v>
      </c>
      <c r="AB9" s="65" t="s">
        <v>137</v>
      </c>
      <c r="AC9" s="65" t="s">
        <v>137</v>
      </c>
      <c r="AD9" s="65" t="s">
        <v>137</v>
      </c>
      <c r="AE9" s="65" t="s">
        <v>137</v>
      </c>
      <c r="AF9" s="65" t="s">
        <v>169</v>
      </c>
      <c r="AG9" s="65" t="s">
        <v>169</v>
      </c>
      <c r="AH9" s="65" t="s">
        <v>137</v>
      </c>
      <c r="AI9" s="65" t="s">
        <v>149</v>
      </c>
      <c r="AJ9" s="65" t="s">
        <v>137</v>
      </c>
      <c r="AK9" s="65" t="s">
        <v>137</v>
      </c>
      <c r="AL9" s="65" t="s">
        <v>137</v>
      </c>
      <c r="AM9" s="65" t="s">
        <v>169</v>
      </c>
      <c r="AN9" s="65" t="s">
        <v>169</v>
      </c>
      <c r="AO9" s="65" t="s">
        <v>137</v>
      </c>
      <c r="AP9" s="65" t="s">
        <v>137</v>
      </c>
      <c r="AQ9" s="66">
        <f t="shared" si="5"/>
        <v>1</v>
      </c>
      <c r="AR9" s="66">
        <f t="shared" si="6"/>
        <v>0</v>
      </c>
      <c r="AS9" s="66">
        <f t="shared" si="7"/>
        <v>0</v>
      </c>
      <c r="AT9" s="66">
        <f t="shared" si="8"/>
        <v>0</v>
      </c>
      <c r="AU9" s="66">
        <f t="shared" si="9"/>
        <v>0</v>
      </c>
      <c r="AV9" s="66">
        <f t="shared" si="10"/>
        <v>0</v>
      </c>
      <c r="AW9" s="66">
        <f t="shared" si="11"/>
        <v>0</v>
      </c>
      <c r="AX9" s="66">
        <f t="shared" si="12"/>
        <v>9</v>
      </c>
    </row>
    <row r="10" spans="1:50" ht="16.5" customHeight="1" x14ac:dyDescent="0.35">
      <c r="A10" s="18">
        <v>3</v>
      </c>
      <c r="B10" s="30" t="s">
        <v>224</v>
      </c>
      <c r="C10" s="61" t="str">
        <f>IF($B10="","",IFERROR(INDEX(الموظفون!$C$6:$C$45,MATCH($B10,الموظفون!$B$6:$B$45,0)),""))</f>
        <v>محمود حسن السيد</v>
      </c>
      <c r="D10" s="62" t="str">
        <f>IF($B10="","",IFERROR(INDEX(الموظفون!$D$6:$D$45,MATCH($B10,الموظفون!$B$6:$B$45,0)),""))</f>
        <v>العمليات</v>
      </c>
      <c r="E10" s="51">
        <f t="shared" si="0"/>
        <v>22</v>
      </c>
      <c r="F10" s="46">
        <f t="shared" si="1"/>
        <v>22</v>
      </c>
      <c r="G10" s="51">
        <f t="shared" si="2"/>
        <v>0</v>
      </c>
      <c r="H10" s="51">
        <f t="shared" si="3"/>
        <v>0</v>
      </c>
      <c r="I10" s="63">
        <f t="shared" si="4"/>
        <v>1</v>
      </c>
      <c r="J10" s="64">
        <f>IF($B10="","",SUMIFS(التوقيت!$G$6:$G$405,التوقيت!$B$6:$B$405,$B10))</f>
        <v>0</v>
      </c>
      <c r="K10" s="46">
        <f>IF($B10="","",SUMIFS(التوقيت!$I$6:$I$405,التوقيت!$B$6:$B$405,$B10))</f>
        <v>0</v>
      </c>
      <c r="L10" s="65" t="s">
        <v>169</v>
      </c>
      <c r="M10" s="65" t="s">
        <v>137</v>
      </c>
      <c r="N10" s="65" t="s">
        <v>137</v>
      </c>
      <c r="O10" s="65" t="s">
        <v>137</v>
      </c>
      <c r="P10" s="65" t="s">
        <v>137</v>
      </c>
      <c r="Q10" s="65" t="s">
        <v>137</v>
      </c>
      <c r="R10" s="65" t="s">
        <v>169</v>
      </c>
      <c r="S10" s="65" t="s">
        <v>169</v>
      </c>
      <c r="T10" s="65" t="s">
        <v>137</v>
      </c>
      <c r="U10" s="65" t="s">
        <v>137</v>
      </c>
      <c r="V10" s="65" t="s">
        <v>137</v>
      </c>
      <c r="W10" s="65" t="s">
        <v>137</v>
      </c>
      <c r="X10" s="65" t="s">
        <v>137</v>
      </c>
      <c r="Y10" s="65" t="s">
        <v>169</v>
      </c>
      <c r="Z10" s="65" t="s">
        <v>169</v>
      </c>
      <c r="AA10" s="65" t="s">
        <v>137</v>
      </c>
      <c r="AB10" s="65" t="s">
        <v>137</v>
      </c>
      <c r="AC10" s="65" t="s">
        <v>137</v>
      </c>
      <c r="AD10" s="65" t="s">
        <v>137</v>
      </c>
      <c r="AE10" s="65" t="s">
        <v>137</v>
      </c>
      <c r="AF10" s="65" t="s">
        <v>169</v>
      </c>
      <c r="AG10" s="65" t="s">
        <v>169</v>
      </c>
      <c r="AH10" s="65" t="s">
        <v>137</v>
      </c>
      <c r="AI10" s="65" t="s">
        <v>137</v>
      </c>
      <c r="AJ10" s="65" t="s">
        <v>137</v>
      </c>
      <c r="AK10" s="65" t="s">
        <v>137</v>
      </c>
      <c r="AL10" s="65" t="s">
        <v>137</v>
      </c>
      <c r="AM10" s="65" t="s">
        <v>169</v>
      </c>
      <c r="AN10" s="65" t="s">
        <v>169</v>
      </c>
      <c r="AO10" s="65" t="s">
        <v>137</v>
      </c>
      <c r="AP10" s="65" t="s">
        <v>137</v>
      </c>
      <c r="AQ10" s="66">
        <f t="shared" si="5"/>
        <v>0</v>
      </c>
      <c r="AR10" s="66">
        <f t="shared" si="6"/>
        <v>0</v>
      </c>
      <c r="AS10" s="66">
        <f t="shared" si="7"/>
        <v>0</v>
      </c>
      <c r="AT10" s="66">
        <f t="shared" si="8"/>
        <v>0</v>
      </c>
      <c r="AU10" s="66">
        <f t="shared" si="9"/>
        <v>0</v>
      </c>
      <c r="AV10" s="66">
        <f t="shared" si="10"/>
        <v>0</v>
      </c>
      <c r="AW10" s="66">
        <f t="shared" si="11"/>
        <v>0</v>
      </c>
      <c r="AX10" s="66">
        <f t="shared" si="12"/>
        <v>9</v>
      </c>
    </row>
    <row r="11" spans="1:50" ht="16.5" customHeight="1" x14ac:dyDescent="0.35">
      <c r="A11" s="18">
        <v>4</v>
      </c>
      <c r="B11" s="30" t="s">
        <v>226</v>
      </c>
      <c r="C11" s="61" t="str">
        <f>IF($B11="","",IFERROR(INDEX(الموظفون!$C$6:$C$45,MATCH($B11,الموظفون!$B$6:$B$45,0)),""))</f>
        <v>فيصل العتيبي</v>
      </c>
      <c r="D11" s="62" t="str">
        <f>IF($B11="","",IFERROR(INDEX(الموظفون!$D$6:$D$45,MATCH($B11,الموظفون!$B$6:$B$45,0)),""))</f>
        <v>العمليات</v>
      </c>
      <c r="E11" s="51">
        <f t="shared" si="0"/>
        <v>22</v>
      </c>
      <c r="F11" s="46">
        <f t="shared" si="1"/>
        <v>22</v>
      </c>
      <c r="G11" s="51">
        <f t="shared" si="2"/>
        <v>0</v>
      </c>
      <c r="H11" s="51">
        <f t="shared" si="3"/>
        <v>0</v>
      </c>
      <c r="I11" s="63">
        <f t="shared" si="4"/>
        <v>1</v>
      </c>
      <c r="J11" s="64">
        <f>IF($B11="","",SUMIFS(التوقيت!$G$6:$G$405,التوقيت!$B$6:$B$405,$B11))</f>
        <v>46</v>
      </c>
      <c r="K11" s="46">
        <f>IF($B11="","",SUMIFS(التوقيت!$I$6:$I$405,التوقيت!$B$6:$B$405,$B11))</f>
        <v>3.6</v>
      </c>
      <c r="L11" s="65" t="s">
        <v>169</v>
      </c>
      <c r="M11" s="65" t="s">
        <v>137</v>
      </c>
      <c r="N11" s="65" t="s">
        <v>137</v>
      </c>
      <c r="O11" s="65" t="s">
        <v>137</v>
      </c>
      <c r="P11" s="65" t="s">
        <v>137</v>
      </c>
      <c r="Q11" s="65" t="s">
        <v>137</v>
      </c>
      <c r="R11" s="65" t="s">
        <v>169</v>
      </c>
      <c r="S11" s="65" t="s">
        <v>169</v>
      </c>
      <c r="T11" s="65" t="s">
        <v>137</v>
      </c>
      <c r="U11" s="65" t="s">
        <v>137</v>
      </c>
      <c r="V11" s="65" t="s">
        <v>137</v>
      </c>
      <c r="W11" s="65" t="s">
        <v>137</v>
      </c>
      <c r="X11" s="65" t="s">
        <v>137</v>
      </c>
      <c r="Y11" s="65" t="s">
        <v>169</v>
      </c>
      <c r="Z11" s="65" t="s">
        <v>169</v>
      </c>
      <c r="AA11" s="65" t="s">
        <v>137</v>
      </c>
      <c r="AB11" s="65" t="s">
        <v>137</v>
      </c>
      <c r="AC11" s="65" t="s">
        <v>137</v>
      </c>
      <c r="AD11" s="65" t="s">
        <v>137</v>
      </c>
      <c r="AE11" s="65" t="s">
        <v>137</v>
      </c>
      <c r="AF11" s="65" t="s">
        <v>169</v>
      </c>
      <c r="AG11" s="65" t="s">
        <v>169</v>
      </c>
      <c r="AH11" s="65" t="s">
        <v>137</v>
      </c>
      <c r="AI11" s="65" t="s">
        <v>137</v>
      </c>
      <c r="AJ11" s="65" t="s">
        <v>137</v>
      </c>
      <c r="AK11" s="65" t="s">
        <v>137</v>
      </c>
      <c r="AL11" s="65" t="s">
        <v>137</v>
      </c>
      <c r="AM11" s="65" t="s">
        <v>169</v>
      </c>
      <c r="AN11" s="65" t="s">
        <v>169</v>
      </c>
      <c r="AO11" s="65" t="s">
        <v>137</v>
      </c>
      <c r="AP11" s="65" t="s">
        <v>137</v>
      </c>
      <c r="AQ11" s="66">
        <f t="shared" si="5"/>
        <v>0</v>
      </c>
      <c r="AR11" s="66">
        <f t="shared" si="6"/>
        <v>0</v>
      </c>
      <c r="AS11" s="66">
        <f t="shared" si="7"/>
        <v>0</v>
      </c>
      <c r="AT11" s="66">
        <f t="shared" si="8"/>
        <v>0</v>
      </c>
      <c r="AU11" s="66">
        <f t="shared" si="9"/>
        <v>0</v>
      </c>
      <c r="AV11" s="66">
        <f t="shared" si="10"/>
        <v>0</v>
      </c>
      <c r="AW11" s="66">
        <f t="shared" si="11"/>
        <v>0</v>
      </c>
      <c r="AX11" s="66">
        <f t="shared" si="12"/>
        <v>9</v>
      </c>
    </row>
    <row r="12" spans="1:50" ht="16.5" customHeight="1" x14ac:dyDescent="0.35">
      <c r="A12" s="18">
        <v>5</v>
      </c>
      <c r="B12" s="30" t="s">
        <v>228</v>
      </c>
      <c r="C12" s="61" t="str">
        <f>IF($B12="","",IFERROR(INDEX(الموظفون!$C$6:$C$45,MATCH($B12,الموظفون!$B$6:$B$45,0)),""))</f>
        <v>يوسف إبراهيم فؤاد</v>
      </c>
      <c r="D12" s="62" t="str">
        <f>IF($B12="","",IFERROR(INDEX(الموظفون!$D$6:$D$45,MATCH($B12,الموظفون!$B$6:$B$45,0)),""))</f>
        <v>الجودة</v>
      </c>
      <c r="E12" s="51">
        <f t="shared" si="0"/>
        <v>22</v>
      </c>
      <c r="F12" s="46">
        <f t="shared" si="1"/>
        <v>21.5</v>
      </c>
      <c r="G12" s="51">
        <f t="shared" si="2"/>
        <v>0</v>
      </c>
      <c r="H12" s="51">
        <f t="shared" si="3"/>
        <v>0</v>
      </c>
      <c r="I12" s="63">
        <f t="shared" si="4"/>
        <v>0.97727272727272729</v>
      </c>
      <c r="J12" s="64">
        <f>IF($B12="","",SUMIFS(التوقيت!$G$6:$G$405,التوقيت!$B$6:$B$405,$B12))</f>
        <v>449</v>
      </c>
      <c r="K12" s="46">
        <f>IF($B12="","",SUMIFS(التوقيت!$I$6:$I$405,التوقيت!$B$6:$B$405,$B12))</f>
        <v>2.6100000000000003</v>
      </c>
      <c r="L12" s="65" t="s">
        <v>169</v>
      </c>
      <c r="M12" s="65" t="s">
        <v>142</v>
      </c>
      <c r="N12" s="65" t="s">
        <v>137</v>
      </c>
      <c r="O12" s="65" t="s">
        <v>137</v>
      </c>
      <c r="P12" s="65" t="s">
        <v>137</v>
      </c>
      <c r="Q12" s="65" t="s">
        <v>137</v>
      </c>
      <c r="R12" s="65" t="s">
        <v>169</v>
      </c>
      <c r="S12" s="65" t="s">
        <v>169</v>
      </c>
      <c r="T12" s="65" t="s">
        <v>137</v>
      </c>
      <c r="U12" s="65" t="s">
        <v>137</v>
      </c>
      <c r="V12" s="65" t="s">
        <v>137</v>
      </c>
      <c r="W12" s="65" t="s">
        <v>137</v>
      </c>
      <c r="X12" s="65" t="s">
        <v>137</v>
      </c>
      <c r="Y12" s="65" t="s">
        <v>169</v>
      </c>
      <c r="Z12" s="65" t="s">
        <v>169</v>
      </c>
      <c r="AA12" s="65" t="s">
        <v>137</v>
      </c>
      <c r="AB12" s="65" t="s">
        <v>137</v>
      </c>
      <c r="AC12" s="65" t="s">
        <v>137</v>
      </c>
      <c r="AD12" s="65" t="s">
        <v>137</v>
      </c>
      <c r="AE12" s="65" t="s">
        <v>137</v>
      </c>
      <c r="AF12" s="65" t="s">
        <v>169</v>
      </c>
      <c r="AG12" s="65" t="s">
        <v>169</v>
      </c>
      <c r="AH12" s="65" t="s">
        <v>137</v>
      </c>
      <c r="AI12" s="65" t="s">
        <v>137</v>
      </c>
      <c r="AJ12" s="65" t="s">
        <v>137</v>
      </c>
      <c r="AK12" s="65" t="s">
        <v>137</v>
      </c>
      <c r="AL12" s="65" t="s">
        <v>137</v>
      </c>
      <c r="AM12" s="65" t="s">
        <v>169</v>
      </c>
      <c r="AN12" s="65" t="s">
        <v>169</v>
      </c>
      <c r="AO12" s="65" t="s">
        <v>137</v>
      </c>
      <c r="AP12" s="65" t="s">
        <v>137</v>
      </c>
      <c r="AQ12" s="66">
        <f t="shared" si="5"/>
        <v>0</v>
      </c>
      <c r="AR12" s="66">
        <f t="shared" si="6"/>
        <v>0</v>
      </c>
      <c r="AS12" s="66">
        <f t="shared" si="7"/>
        <v>0</v>
      </c>
      <c r="AT12" s="66">
        <f t="shared" si="8"/>
        <v>0</v>
      </c>
      <c r="AU12" s="66">
        <f t="shared" si="9"/>
        <v>0</v>
      </c>
      <c r="AV12" s="66">
        <f t="shared" si="10"/>
        <v>0</v>
      </c>
      <c r="AW12" s="66">
        <f t="shared" si="11"/>
        <v>0</v>
      </c>
      <c r="AX12" s="66">
        <f t="shared" si="12"/>
        <v>9</v>
      </c>
    </row>
    <row r="13" spans="1:50" ht="16.5" customHeight="1" x14ac:dyDescent="0.35">
      <c r="A13" s="18">
        <v>6</v>
      </c>
      <c r="B13" s="30" t="s">
        <v>232</v>
      </c>
      <c r="C13" s="61" t="str">
        <f>IF($B13="","",IFERROR(INDEX(الموظفون!$C$6:$C$45,MATCH($B13,الموظفون!$B$6:$B$45,0)),""))</f>
        <v>سلطان الحربي</v>
      </c>
      <c r="D13" s="62" t="str">
        <f>IF($B13="","",IFERROR(INDEX(الموظفون!$D$6:$D$45,MATCH($B13,الموظفون!$B$6:$B$45,0)),""))</f>
        <v>الجودة</v>
      </c>
      <c r="E13" s="51">
        <f t="shared" si="0"/>
        <v>22</v>
      </c>
      <c r="F13" s="46">
        <f t="shared" si="1"/>
        <v>22</v>
      </c>
      <c r="G13" s="51">
        <f t="shared" si="2"/>
        <v>0</v>
      </c>
      <c r="H13" s="51">
        <f t="shared" si="3"/>
        <v>0</v>
      </c>
      <c r="I13" s="63">
        <f t="shared" si="4"/>
        <v>1</v>
      </c>
      <c r="J13" s="64">
        <f>IF($B13="","",SUMIFS(التوقيت!$G$6:$G$405,التوقيت!$B$6:$B$405,$B13))</f>
        <v>70</v>
      </c>
      <c r="K13" s="46">
        <f>IF($B13="","",SUMIFS(التوقيت!$I$6:$I$405,التوقيت!$B$6:$B$405,$B13))</f>
        <v>0</v>
      </c>
      <c r="L13" s="65" t="s">
        <v>169</v>
      </c>
      <c r="M13" s="65" t="s">
        <v>137</v>
      </c>
      <c r="N13" s="65" t="s">
        <v>137</v>
      </c>
      <c r="O13" s="65" t="s">
        <v>137</v>
      </c>
      <c r="P13" s="65" t="s">
        <v>137</v>
      </c>
      <c r="Q13" s="65" t="s">
        <v>137</v>
      </c>
      <c r="R13" s="65" t="s">
        <v>169</v>
      </c>
      <c r="S13" s="65" t="s">
        <v>169</v>
      </c>
      <c r="T13" s="65" t="s">
        <v>137</v>
      </c>
      <c r="U13" s="65" t="s">
        <v>137</v>
      </c>
      <c r="V13" s="65" t="s">
        <v>137</v>
      </c>
      <c r="W13" s="65" t="s">
        <v>137</v>
      </c>
      <c r="X13" s="65" t="s">
        <v>137</v>
      </c>
      <c r="Y13" s="65" t="s">
        <v>169</v>
      </c>
      <c r="Z13" s="65" t="s">
        <v>169</v>
      </c>
      <c r="AA13" s="65" t="s">
        <v>137</v>
      </c>
      <c r="AB13" s="65" t="s">
        <v>137</v>
      </c>
      <c r="AC13" s="65" t="s">
        <v>137</v>
      </c>
      <c r="AD13" s="65" t="s">
        <v>137</v>
      </c>
      <c r="AE13" s="65" t="s">
        <v>137</v>
      </c>
      <c r="AF13" s="65" t="s">
        <v>169</v>
      </c>
      <c r="AG13" s="65" t="s">
        <v>169</v>
      </c>
      <c r="AH13" s="65" t="s">
        <v>137</v>
      </c>
      <c r="AI13" s="65" t="s">
        <v>137</v>
      </c>
      <c r="AJ13" s="65" t="s">
        <v>137</v>
      </c>
      <c r="AK13" s="65" t="s">
        <v>137</v>
      </c>
      <c r="AL13" s="65" t="s">
        <v>137</v>
      </c>
      <c r="AM13" s="65" t="s">
        <v>169</v>
      </c>
      <c r="AN13" s="65" t="s">
        <v>169</v>
      </c>
      <c r="AO13" s="65" t="s">
        <v>137</v>
      </c>
      <c r="AP13" s="65" t="s">
        <v>137</v>
      </c>
      <c r="AQ13" s="66">
        <f t="shared" si="5"/>
        <v>0</v>
      </c>
      <c r="AR13" s="66">
        <f t="shared" si="6"/>
        <v>0</v>
      </c>
      <c r="AS13" s="66">
        <f t="shared" si="7"/>
        <v>0</v>
      </c>
      <c r="AT13" s="66">
        <f t="shared" si="8"/>
        <v>0</v>
      </c>
      <c r="AU13" s="66">
        <f t="shared" si="9"/>
        <v>0</v>
      </c>
      <c r="AV13" s="66">
        <f t="shared" si="10"/>
        <v>0</v>
      </c>
      <c r="AW13" s="66">
        <f t="shared" si="11"/>
        <v>0</v>
      </c>
      <c r="AX13" s="66">
        <f t="shared" si="12"/>
        <v>9</v>
      </c>
    </row>
    <row r="14" spans="1:50" ht="16.5" customHeight="1" x14ac:dyDescent="0.35">
      <c r="A14" s="18">
        <v>7</v>
      </c>
      <c r="B14" s="30" t="s">
        <v>234</v>
      </c>
      <c r="C14" s="61" t="str">
        <f>IF($B14="","",IFERROR(INDEX(الموظفون!$C$6:$C$45,MATCH($B14,الموظفون!$B$6:$B$45,0)),""))</f>
        <v>كريم سعيد الخولي</v>
      </c>
      <c r="D14" s="62" t="str">
        <f>IF($B14="","",IFERROR(INDEX(الموظفون!$D$6:$D$45,MATCH($B14,الموظفون!$B$6:$B$45,0)),""))</f>
        <v>الجودة</v>
      </c>
      <c r="E14" s="51">
        <f t="shared" si="0"/>
        <v>22</v>
      </c>
      <c r="F14" s="46">
        <f t="shared" si="1"/>
        <v>18</v>
      </c>
      <c r="G14" s="51">
        <f t="shared" si="2"/>
        <v>0</v>
      </c>
      <c r="H14" s="51">
        <f t="shared" si="3"/>
        <v>4</v>
      </c>
      <c r="I14" s="63">
        <f t="shared" si="4"/>
        <v>0.81818181818181823</v>
      </c>
      <c r="J14" s="64">
        <f>IF($B14="","",SUMIFS(التوقيت!$G$6:$G$405,التوقيت!$B$6:$B$405,$B14))</f>
        <v>35</v>
      </c>
      <c r="K14" s="46">
        <f>IF($B14="","",SUMIFS(التوقيت!$I$6:$I$405,التوقيت!$B$6:$B$405,$B14))</f>
        <v>0</v>
      </c>
      <c r="L14" s="65" t="s">
        <v>169</v>
      </c>
      <c r="M14" s="65" t="s">
        <v>137</v>
      </c>
      <c r="N14" s="65" t="s">
        <v>137</v>
      </c>
      <c r="O14" s="65" t="s">
        <v>149</v>
      </c>
      <c r="P14" s="65" t="s">
        <v>137</v>
      </c>
      <c r="Q14" s="65" t="s">
        <v>137</v>
      </c>
      <c r="R14" s="65" t="s">
        <v>169</v>
      </c>
      <c r="S14" s="65" t="s">
        <v>169</v>
      </c>
      <c r="T14" s="65" t="s">
        <v>137</v>
      </c>
      <c r="U14" s="65" t="s">
        <v>137</v>
      </c>
      <c r="V14" s="65" t="s">
        <v>137</v>
      </c>
      <c r="W14" s="65" t="s">
        <v>137</v>
      </c>
      <c r="X14" s="65" t="s">
        <v>137</v>
      </c>
      <c r="Y14" s="65" t="s">
        <v>169</v>
      </c>
      <c r="Z14" s="65" t="s">
        <v>169</v>
      </c>
      <c r="AA14" s="65" t="s">
        <v>137</v>
      </c>
      <c r="AB14" s="65" t="s">
        <v>137</v>
      </c>
      <c r="AC14" s="65" t="s">
        <v>137</v>
      </c>
      <c r="AD14" s="65" t="s">
        <v>137</v>
      </c>
      <c r="AE14" s="65" t="s">
        <v>137</v>
      </c>
      <c r="AF14" s="65" t="s">
        <v>169</v>
      </c>
      <c r="AG14" s="65" t="s">
        <v>169</v>
      </c>
      <c r="AH14" s="65" t="s">
        <v>149</v>
      </c>
      <c r="AI14" s="65" t="s">
        <v>137</v>
      </c>
      <c r="AJ14" s="65" t="s">
        <v>137</v>
      </c>
      <c r="AK14" s="65" t="s">
        <v>137</v>
      </c>
      <c r="AL14" s="65" t="s">
        <v>149</v>
      </c>
      <c r="AM14" s="65" t="s">
        <v>169</v>
      </c>
      <c r="AN14" s="65" t="s">
        <v>169</v>
      </c>
      <c r="AO14" s="65" t="s">
        <v>137</v>
      </c>
      <c r="AP14" s="65" t="s">
        <v>149</v>
      </c>
      <c r="AQ14" s="66">
        <f t="shared" si="5"/>
        <v>4</v>
      </c>
      <c r="AR14" s="66">
        <f t="shared" si="6"/>
        <v>0</v>
      </c>
      <c r="AS14" s="66">
        <f t="shared" si="7"/>
        <v>0</v>
      </c>
      <c r="AT14" s="66">
        <f t="shared" si="8"/>
        <v>0</v>
      </c>
      <c r="AU14" s="66">
        <f t="shared" si="9"/>
        <v>0</v>
      </c>
      <c r="AV14" s="66">
        <f t="shared" si="10"/>
        <v>0</v>
      </c>
      <c r="AW14" s="66">
        <f t="shared" si="11"/>
        <v>0</v>
      </c>
      <c r="AX14" s="66">
        <f t="shared" si="12"/>
        <v>9</v>
      </c>
    </row>
    <row r="15" spans="1:50" ht="16.5" customHeight="1" x14ac:dyDescent="0.35">
      <c r="A15" s="18">
        <v>8</v>
      </c>
      <c r="B15" s="30" t="s">
        <v>237</v>
      </c>
      <c r="C15" s="61" t="str">
        <f>IF($B15="","",IFERROR(INDEX(الموظفون!$C$6:$C$45,MATCH($B15,الموظفون!$B$6:$B$45,0)),""))</f>
        <v>بندر الغامدي</v>
      </c>
      <c r="D15" s="62" t="str">
        <f>IF($B15="","",IFERROR(INDEX(الموظفون!$D$6:$D$45,MATCH($B15,الموظفون!$B$6:$B$45,0)),""))</f>
        <v>الجودة</v>
      </c>
      <c r="E15" s="51">
        <f t="shared" si="0"/>
        <v>22</v>
      </c>
      <c r="F15" s="46">
        <f t="shared" si="1"/>
        <v>18.5</v>
      </c>
      <c r="G15" s="51">
        <f t="shared" si="2"/>
        <v>2</v>
      </c>
      <c r="H15" s="51">
        <f t="shared" si="3"/>
        <v>1</v>
      </c>
      <c r="I15" s="63">
        <f t="shared" si="4"/>
        <v>0.84090909090909094</v>
      </c>
      <c r="J15" s="64">
        <f>IF($B15="","",SUMIFS(التوقيت!$G$6:$G$405,التوقيت!$B$6:$B$405,$B15))</f>
        <v>70</v>
      </c>
      <c r="K15" s="46">
        <f>IF($B15="","",SUMIFS(التوقيت!$I$6:$I$405,التوقيت!$B$6:$B$405,$B15))</f>
        <v>0</v>
      </c>
      <c r="L15" s="65" t="s">
        <v>169</v>
      </c>
      <c r="M15" s="65" t="s">
        <v>137</v>
      </c>
      <c r="N15" s="65" t="s">
        <v>137</v>
      </c>
      <c r="O15" s="65" t="s">
        <v>156</v>
      </c>
      <c r="P15" s="65" t="s">
        <v>137</v>
      </c>
      <c r="Q15" s="65" t="s">
        <v>137</v>
      </c>
      <c r="R15" s="65" t="s">
        <v>169</v>
      </c>
      <c r="S15" s="65" t="s">
        <v>169</v>
      </c>
      <c r="T15" s="65" t="s">
        <v>137</v>
      </c>
      <c r="U15" s="65" t="s">
        <v>145</v>
      </c>
      <c r="V15" s="65" t="s">
        <v>137</v>
      </c>
      <c r="W15" s="65" t="s">
        <v>137</v>
      </c>
      <c r="X15" s="65" t="s">
        <v>137</v>
      </c>
      <c r="Y15" s="65" t="s">
        <v>169</v>
      </c>
      <c r="Z15" s="65" t="s">
        <v>169</v>
      </c>
      <c r="AA15" s="65" t="s">
        <v>137</v>
      </c>
      <c r="AB15" s="65" t="s">
        <v>145</v>
      </c>
      <c r="AC15" s="65" t="s">
        <v>137</v>
      </c>
      <c r="AD15" s="65" t="s">
        <v>137</v>
      </c>
      <c r="AE15" s="65" t="s">
        <v>137</v>
      </c>
      <c r="AF15" s="65" t="s">
        <v>169</v>
      </c>
      <c r="AG15" s="65" t="s">
        <v>169</v>
      </c>
      <c r="AH15" s="65" t="s">
        <v>137</v>
      </c>
      <c r="AI15" s="65" t="s">
        <v>137</v>
      </c>
      <c r="AJ15" s="65" t="s">
        <v>137</v>
      </c>
      <c r="AK15" s="65" t="s">
        <v>142</v>
      </c>
      <c r="AL15" s="65" t="s">
        <v>137</v>
      </c>
      <c r="AM15" s="65" t="s">
        <v>169</v>
      </c>
      <c r="AN15" s="65" t="s">
        <v>169</v>
      </c>
      <c r="AO15" s="65" t="s">
        <v>137</v>
      </c>
      <c r="AP15" s="65" t="s">
        <v>137</v>
      </c>
      <c r="AQ15" s="66">
        <f t="shared" si="5"/>
        <v>0</v>
      </c>
      <c r="AR15" s="66">
        <f t="shared" si="6"/>
        <v>0</v>
      </c>
      <c r="AS15" s="66">
        <f t="shared" si="7"/>
        <v>1</v>
      </c>
      <c r="AT15" s="66">
        <f t="shared" si="8"/>
        <v>0</v>
      </c>
      <c r="AU15" s="66">
        <f t="shared" si="9"/>
        <v>0</v>
      </c>
      <c r="AV15" s="66">
        <f t="shared" si="10"/>
        <v>0</v>
      </c>
      <c r="AW15" s="66">
        <f t="shared" si="11"/>
        <v>0</v>
      </c>
      <c r="AX15" s="66">
        <f t="shared" si="12"/>
        <v>9</v>
      </c>
    </row>
    <row r="16" spans="1:50" ht="16.5" customHeight="1" x14ac:dyDescent="0.35">
      <c r="A16" s="18">
        <v>9</v>
      </c>
      <c r="B16" s="30" t="s">
        <v>238</v>
      </c>
      <c r="C16" s="61" t="str">
        <f>IF($B16="","",IFERROR(INDEX(الموظفون!$C$6:$C$45,MATCH($B16,الموظفون!$B$6:$B$45,0)),""))</f>
        <v>عمر شعبان النجار</v>
      </c>
      <c r="D16" s="62" t="str">
        <f>IF($B16="","",IFERROR(INDEX(الموظفون!$D$6:$D$45,MATCH($B16,الموظفون!$B$6:$B$45,0)),""))</f>
        <v>الإنتاج</v>
      </c>
      <c r="E16" s="51">
        <f t="shared" si="0"/>
        <v>22</v>
      </c>
      <c r="F16" s="46">
        <f t="shared" si="1"/>
        <v>14</v>
      </c>
      <c r="G16" s="51">
        <f t="shared" si="2"/>
        <v>8</v>
      </c>
      <c r="H16" s="51">
        <f t="shared" si="3"/>
        <v>0</v>
      </c>
      <c r="I16" s="63">
        <f t="shared" si="4"/>
        <v>0.63636363636363635</v>
      </c>
      <c r="J16" s="64">
        <f>IF($B16="","",SUMIFS(التوقيت!$G$6:$G$405,التوقيت!$B$6:$B$405,$B16))</f>
        <v>262</v>
      </c>
      <c r="K16" s="46">
        <f>IF($B16="","",SUMIFS(التوقيت!$I$6:$I$405,التوقيت!$B$6:$B$405,$B16))</f>
        <v>0</v>
      </c>
      <c r="L16" s="65" t="s">
        <v>169</v>
      </c>
      <c r="M16" s="65" t="s">
        <v>137</v>
      </c>
      <c r="N16" s="65" t="s">
        <v>145</v>
      </c>
      <c r="O16" s="65" t="s">
        <v>145</v>
      </c>
      <c r="P16" s="65" t="s">
        <v>145</v>
      </c>
      <c r="Q16" s="65" t="s">
        <v>145</v>
      </c>
      <c r="R16" s="65" t="s">
        <v>169</v>
      </c>
      <c r="S16" s="65" t="s">
        <v>169</v>
      </c>
      <c r="T16" s="65" t="s">
        <v>145</v>
      </c>
      <c r="U16" s="65" t="s">
        <v>145</v>
      </c>
      <c r="V16" s="65" t="s">
        <v>145</v>
      </c>
      <c r="W16" s="65" t="s">
        <v>145</v>
      </c>
      <c r="X16" s="65" t="s">
        <v>137</v>
      </c>
      <c r="Y16" s="65" t="s">
        <v>169</v>
      </c>
      <c r="Z16" s="65" t="s">
        <v>169</v>
      </c>
      <c r="AA16" s="65" t="s">
        <v>137</v>
      </c>
      <c r="AB16" s="65" t="s">
        <v>137</v>
      </c>
      <c r="AC16" s="65" t="s">
        <v>137</v>
      </c>
      <c r="AD16" s="65" t="s">
        <v>137</v>
      </c>
      <c r="AE16" s="65" t="s">
        <v>137</v>
      </c>
      <c r="AF16" s="65" t="s">
        <v>169</v>
      </c>
      <c r="AG16" s="65" t="s">
        <v>169</v>
      </c>
      <c r="AH16" s="65" t="s">
        <v>137</v>
      </c>
      <c r="AI16" s="65" t="s">
        <v>137</v>
      </c>
      <c r="AJ16" s="65" t="s">
        <v>137</v>
      </c>
      <c r="AK16" s="65" t="s">
        <v>137</v>
      </c>
      <c r="AL16" s="65" t="s">
        <v>137</v>
      </c>
      <c r="AM16" s="65" t="s">
        <v>169</v>
      </c>
      <c r="AN16" s="65" t="s">
        <v>169</v>
      </c>
      <c r="AO16" s="65" t="s">
        <v>137</v>
      </c>
      <c r="AP16" s="65" t="s">
        <v>137</v>
      </c>
      <c r="AQ16" s="66">
        <f t="shared" si="5"/>
        <v>0</v>
      </c>
      <c r="AR16" s="66">
        <f t="shared" si="6"/>
        <v>0</v>
      </c>
      <c r="AS16" s="66">
        <f t="shared" si="7"/>
        <v>0</v>
      </c>
      <c r="AT16" s="66">
        <f t="shared" si="8"/>
        <v>0</v>
      </c>
      <c r="AU16" s="66">
        <f t="shared" si="9"/>
        <v>0</v>
      </c>
      <c r="AV16" s="66">
        <f t="shared" si="10"/>
        <v>0</v>
      </c>
      <c r="AW16" s="66">
        <f t="shared" si="11"/>
        <v>0</v>
      </c>
      <c r="AX16" s="66">
        <f t="shared" si="12"/>
        <v>9</v>
      </c>
    </row>
    <row r="17" spans="1:50" ht="16.5" customHeight="1" x14ac:dyDescent="0.35">
      <c r="A17" s="18">
        <v>10</v>
      </c>
      <c r="B17" s="30" t="s">
        <v>242</v>
      </c>
      <c r="C17" s="61" t="str">
        <f>IF($B17="","",IFERROR(INDEX(الموظفون!$C$6:$C$45,MATCH($B17,الموظفون!$B$6:$B$45,0)),""))</f>
        <v>ماجد الدوسري</v>
      </c>
      <c r="D17" s="62" t="str">
        <f>IF($B17="","",IFERROR(INDEX(الموظفون!$D$6:$D$45,MATCH($B17,الموظفون!$B$6:$B$45,0)),""))</f>
        <v>الإنتاج</v>
      </c>
      <c r="E17" s="51">
        <f t="shared" si="0"/>
        <v>22</v>
      </c>
      <c r="F17" s="46">
        <f t="shared" si="1"/>
        <v>19.5</v>
      </c>
      <c r="G17" s="51">
        <f t="shared" si="2"/>
        <v>0</v>
      </c>
      <c r="H17" s="51">
        <f t="shared" si="3"/>
        <v>2</v>
      </c>
      <c r="I17" s="63">
        <f t="shared" si="4"/>
        <v>0.88636363636363635</v>
      </c>
      <c r="J17" s="64">
        <f>IF($B17="","",SUMIFS(التوقيت!$G$6:$G$405,التوقيت!$B$6:$B$405,$B17))</f>
        <v>120</v>
      </c>
      <c r="K17" s="46">
        <f>IF($B17="","",SUMIFS(التوقيت!$I$6:$I$405,التوقيت!$B$6:$B$405,$B17))</f>
        <v>2</v>
      </c>
      <c r="L17" s="65" t="s">
        <v>169</v>
      </c>
      <c r="M17" s="65" t="s">
        <v>137</v>
      </c>
      <c r="N17" s="65" t="s">
        <v>137</v>
      </c>
      <c r="O17" s="65" t="s">
        <v>137</v>
      </c>
      <c r="P17" s="65" t="s">
        <v>137</v>
      </c>
      <c r="Q17" s="65" t="s">
        <v>137</v>
      </c>
      <c r="R17" s="65" t="s">
        <v>169</v>
      </c>
      <c r="S17" s="65" t="s">
        <v>169</v>
      </c>
      <c r="T17" s="65" t="s">
        <v>149</v>
      </c>
      <c r="U17" s="65" t="s">
        <v>137</v>
      </c>
      <c r="V17" s="65" t="s">
        <v>149</v>
      </c>
      <c r="W17" s="65" t="s">
        <v>137</v>
      </c>
      <c r="X17" s="65" t="s">
        <v>137</v>
      </c>
      <c r="Y17" s="65" t="s">
        <v>169</v>
      </c>
      <c r="Z17" s="65" t="s">
        <v>169</v>
      </c>
      <c r="AA17" s="65" t="s">
        <v>137</v>
      </c>
      <c r="AB17" s="65" t="s">
        <v>137</v>
      </c>
      <c r="AC17" s="65" t="s">
        <v>172</v>
      </c>
      <c r="AD17" s="65" t="s">
        <v>142</v>
      </c>
      <c r="AE17" s="65" t="s">
        <v>137</v>
      </c>
      <c r="AF17" s="65" t="s">
        <v>169</v>
      </c>
      <c r="AG17" s="65" t="s">
        <v>169</v>
      </c>
      <c r="AH17" s="65" t="s">
        <v>137</v>
      </c>
      <c r="AI17" s="65" t="s">
        <v>137</v>
      </c>
      <c r="AJ17" s="65" t="s">
        <v>137</v>
      </c>
      <c r="AK17" s="65" t="s">
        <v>137</v>
      </c>
      <c r="AL17" s="65" t="s">
        <v>137</v>
      </c>
      <c r="AM17" s="65" t="s">
        <v>169</v>
      </c>
      <c r="AN17" s="65" t="s">
        <v>169</v>
      </c>
      <c r="AO17" s="65" t="s">
        <v>137</v>
      </c>
      <c r="AP17" s="65" t="s">
        <v>137</v>
      </c>
      <c r="AQ17" s="66">
        <f t="shared" si="5"/>
        <v>2</v>
      </c>
      <c r="AR17" s="66">
        <f t="shared" si="6"/>
        <v>0</v>
      </c>
      <c r="AS17" s="66">
        <f t="shared" si="7"/>
        <v>0</v>
      </c>
      <c r="AT17" s="66">
        <f t="shared" si="8"/>
        <v>0</v>
      </c>
      <c r="AU17" s="66">
        <f t="shared" si="9"/>
        <v>0</v>
      </c>
      <c r="AV17" s="66">
        <f t="shared" si="10"/>
        <v>0</v>
      </c>
      <c r="AW17" s="66">
        <f t="shared" si="11"/>
        <v>0</v>
      </c>
      <c r="AX17" s="66">
        <f t="shared" si="12"/>
        <v>9</v>
      </c>
    </row>
    <row r="18" spans="1:50" ht="16.5" customHeight="1" x14ac:dyDescent="0.35">
      <c r="A18" s="18">
        <v>11</v>
      </c>
      <c r="B18" s="30" t="s">
        <v>243</v>
      </c>
      <c r="C18" s="61" t="str">
        <f>IF($B18="","",IFERROR(INDEX(الموظفون!$C$6:$C$45,MATCH($B18,الموظفون!$B$6:$B$45,0)),""))</f>
        <v>هبة رمضان عبد الحميد</v>
      </c>
      <c r="D18" s="62" t="str">
        <f>IF($B18="","",IFERROR(INDEX(الموظفون!$D$6:$D$45,MATCH($B18,الموظفون!$B$6:$B$45,0)),""))</f>
        <v>الإنتاج</v>
      </c>
      <c r="E18" s="51">
        <f t="shared" si="0"/>
        <v>22</v>
      </c>
      <c r="F18" s="46">
        <f t="shared" si="1"/>
        <v>21</v>
      </c>
      <c r="G18" s="51">
        <f t="shared" si="2"/>
        <v>0</v>
      </c>
      <c r="H18" s="51">
        <f t="shared" si="3"/>
        <v>1</v>
      </c>
      <c r="I18" s="63">
        <f t="shared" si="4"/>
        <v>0.95454545454545459</v>
      </c>
      <c r="J18" s="64">
        <f>IF($B18="","",SUMIFS(التوقيت!$G$6:$G$405,التوقيت!$B$6:$B$405,$B18))</f>
        <v>132</v>
      </c>
      <c r="K18" s="46">
        <f>IF($B18="","",SUMIFS(التوقيت!$I$6:$I$405,التوقيت!$B$6:$B$405,$B18))</f>
        <v>0</v>
      </c>
      <c r="L18" s="65" t="s">
        <v>169</v>
      </c>
      <c r="M18" s="65" t="s">
        <v>137</v>
      </c>
      <c r="N18" s="65" t="s">
        <v>137</v>
      </c>
      <c r="O18" s="65" t="s">
        <v>137</v>
      </c>
      <c r="P18" s="65" t="s">
        <v>137</v>
      </c>
      <c r="Q18" s="65" t="s">
        <v>137</v>
      </c>
      <c r="R18" s="65" t="s">
        <v>169</v>
      </c>
      <c r="S18" s="65" t="s">
        <v>169</v>
      </c>
      <c r="T18" s="65" t="s">
        <v>137</v>
      </c>
      <c r="U18" s="65" t="s">
        <v>137</v>
      </c>
      <c r="V18" s="65" t="s">
        <v>137</v>
      </c>
      <c r="W18" s="65" t="s">
        <v>137</v>
      </c>
      <c r="X18" s="65" t="s">
        <v>137</v>
      </c>
      <c r="Y18" s="65" t="s">
        <v>169</v>
      </c>
      <c r="Z18" s="65" t="s">
        <v>169</v>
      </c>
      <c r="AA18" s="65" t="s">
        <v>137</v>
      </c>
      <c r="AB18" s="65" t="s">
        <v>137</v>
      </c>
      <c r="AC18" s="65" t="s">
        <v>149</v>
      </c>
      <c r="AD18" s="65" t="s">
        <v>137</v>
      </c>
      <c r="AE18" s="65" t="s">
        <v>137</v>
      </c>
      <c r="AF18" s="65" t="s">
        <v>169</v>
      </c>
      <c r="AG18" s="65" t="s">
        <v>169</v>
      </c>
      <c r="AH18" s="65" t="s">
        <v>137</v>
      </c>
      <c r="AI18" s="65" t="s">
        <v>137</v>
      </c>
      <c r="AJ18" s="65" t="s">
        <v>137</v>
      </c>
      <c r="AK18" s="65" t="s">
        <v>137</v>
      </c>
      <c r="AL18" s="65" t="s">
        <v>137</v>
      </c>
      <c r="AM18" s="65" t="s">
        <v>169</v>
      </c>
      <c r="AN18" s="65" t="s">
        <v>169</v>
      </c>
      <c r="AO18" s="65" t="s">
        <v>137</v>
      </c>
      <c r="AP18" s="65" t="s">
        <v>137</v>
      </c>
      <c r="AQ18" s="66">
        <f t="shared" si="5"/>
        <v>1</v>
      </c>
      <c r="AR18" s="66">
        <f t="shared" si="6"/>
        <v>0</v>
      </c>
      <c r="AS18" s="66">
        <f t="shared" si="7"/>
        <v>0</v>
      </c>
      <c r="AT18" s="66">
        <f t="shared" si="8"/>
        <v>0</v>
      </c>
      <c r="AU18" s="66">
        <f t="shared" si="9"/>
        <v>0</v>
      </c>
      <c r="AV18" s="66">
        <f t="shared" si="10"/>
        <v>0</v>
      </c>
      <c r="AW18" s="66">
        <f t="shared" si="11"/>
        <v>0</v>
      </c>
      <c r="AX18" s="66">
        <f t="shared" si="12"/>
        <v>9</v>
      </c>
    </row>
    <row r="19" spans="1:50" ht="16.5" customHeight="1" x14ac:dyDescent="0.35">
      <c r="A19" s="18">
        <v>12</v>
      </c>
      <c r="B19" s="30" t="s">
        <v>245</v>
      </c>
      <c r="C19" s="61" t="str">
        <f>IF($B19="","",IFERROR(INDEX(الموظفون!$C$6:$C$45,MATCH($B19,الموظفون!$B$6:$B$45,0)),""))</f>
        <v>نورة العمري</v>
      </c>
      <c r="D19" s="62" t="str">
        <f>IF($B19="","",IFERROR(INDEX(الموظفون!$D$6:$D$45,MATCH($B19,الموظفون!$B$6:$B$45,0)),""))</f>
        <v>الإنتاج</v>
      </c>
      <c r="E19" s="51">
        <f t="shared" si="0"/>
        <v>22</v>
      </c>
      <c r="F19" s="46">
        <f t="shared" si="1"/>
        <v>16</v>
      </c>
      <c r="G19" s="51">
        <f t="shared" si="2"/>
        <v>1</v>
      </c>
      <c r="H19" s="51">
        <f t="shared" si="3"/>
        <v>5</v>
      </c>
      <c r="I19" s="63">
        <f t="shared" si="4"/>
        <v>0.72727272727272729</v>
      </c>
      <c r="J19" s="64">
        <f>IF($B19="","",SUMIFS(التوقيت!$G$6:$G$405,التوقيت!$B$6:$B$405,$B19))</f>
        <v>40</v>
      </c>
      <c r="K19" s="46">
        <f>IF($B19="","",SUMIFS(التوقيت!$I$6:$I$405,التوقيت!$B$6:$B$405,$B19))</f>
        <v>0.92</v>
      </c>
      <c r="L19" s="65" t="s">
        <v>169</v>
      </c>
      <c r="M19" s="65" t="s">
        <v>137</v>
      </c>
      <c r="N19" s="65" t="s">
        <v>137</v>
      </c>
      <c r="O19" s="65" t="s">
        <v>145</v>
      </c>
      <c r="P19" s="65" t="s">
        <v>137</v>
      </c>
      <c r="Q19" s="65" t="s">
        <v>137</v>
      </c>
      <c r="R19" s="65" t="s">
        <v>169</v>
      </c>
      <c r="S19" s="65" t="s">
        <v>169</v>
      </c>
      <c r="T19" s="65" t="s">
        <v>137</v>
      </c>
      <c r="U19" s="65" t="s">
        <v>137</v>
      </c>
      <c r="V19" s="65" t="s">
        <v>137</v>
      </c>
      <c r="W19" s="65" t="s">
        <v>137</v>
      </c>
      <c r="X19" s="65" t="s">
        <v>137</v>
      </c>
      <c r="Y19" s="65" t="s">
        <v>169</v>
      </c>
      <c r="Z19" s="65" t="s">
        <v>169</v>
      </c>
      <c r="AA19" s="65" t="s">
        <v>137</v>
      </c>
      <c r="AB19" s="65" t="s">
        <v>156</v>
      </c>
      <c r="AC19" s="65" t="s">
        <v>156</v>
      </c>
      <c r="AD19" s="65" t="s">
        <v>156</v>
      </c>
      <c r="AE19" s="65" t="s">
        <v>156</v>
      </c>
      <c r="AF19" s="65" t="s">
        <v>169</v>
      </c>
      <c r="AG19" s="65" t="s">
        <v>169</v>
      </c>
      <c r="AH19" s="65" t="s">
        <v>156</v>
      </c>
      <c r="AI19" s="65" t="s">
        <v>137</v>
      </c>
      <c r="AJ19" s="65" t="s">
        <v>137</v>
      </c>
      <c r="AK19" s="65" t="s">
        <v>137</v>
      </c>
      <c r="AL19" s="65" t="s">
        <v>137</v>
      </c>
      <c r="AM19" s="65" t="s">
        <v>169</v>
      </c>
      <c r="AN19" s="65" t="s">
        <v>169</v>
      </c>
      <c r="AO19" s="65" t="s">
        <v>137</v>
      </c>
      <c r="AP19" s="65" t="s">
        <v>137</v>
      </c>
      <c r="AQ19" s="66">
        <f t="shared" si="5"/>
        <v>0</v>
      </c>
      <c r="AR19" s="66">
        <f t="shared" si="6"/>
        <v>0</v>
      </c>
      <c r="AS19" s="66">
        <f t="shared" si="7"/>
        <v>5</v>
      </c>
      <c r="AT19" s="66">
        <f t="shared" si="8"/>
        <v>0</v>
      </c>
      <c r="AU19" s="66">
        <f t="shared" si="9"/>
        <v>0</v>
      </c>
      <c r="AV19" s="66">
        <f t="shared" si="10"/>
        <v>0</v>
      </c>
      <c r="AW19" s="66">
        <f t="shared" si="11"/>
        <v>0</v>
      </c>
      <c r="AX19" s="66">
        <f t="shared" si="12"/>
        <v>9</v>
      </c>
    </row>
    <row r="20" spans="1:50" ht="16.5" customHeight="1" x14ac:dyDescent="0.35">
      <c r="A20" s="18">
        <v>13</v>
      </c>
      <c r="B20" s="30" t="s">
        <v>247</v>
      </c>
      <c r="C20" s="61" t="str">
        <f>IF($B20="","",IFERROR(INDEX(الموظفون!$C$6:$C$45,MATCH($B20,الموظفون!$B$6:$B$45,0)),""))</f>
        <v>داليا فؤاد الشناوي</v>
      </c>
      <c r="D20" s="62" t="str">
        <f>IF($B20="","",IFERROR(INDEX(الموظفون!$D$6:$D$45,MATCH($B20,الموظفون!$B$6:$B$45,0)),""))</f>
        <v>الإنتاج</v>
      </c>
      <c r="E20" s="51">
        <f t="shared" si="0"/>
        <v>22</v>
      </c>
      <c r="F20" s="46">
        <f t="shared" si="1"/>
        <v>22</v>
      </c>
      <c r="G20" s="51">
        <f t="shared" si="2"/>
        <v>0</v>
      </c>
      <c r="H20" s="51">
        <f t="shared" si="3"/>
        <v>0</v>
      </c>
      <c r="I20" s="63">
        <f t="shared" si="4"/>
        <v>1</v>
      </c>
      <c r="J20" s="64">
        <f>IF($B20="","",SUMIFS(التوقيت!$G$6:$G$405,التوقيت!$B$6:$B$405,$B20))</f>
        <v>25</v>
      </c>
      <c r="K20" s="46">
        <f>IF($B20="","",SUMIFS(التوقيت!$I$6:$I$405,التوقيت!$B$6:$B$405,$B20))</f>
        <v>0</v>
      </c>
      <c r="L20" s="65" t="s">
        <v>169</v>
      </c>
      <c r="M20" s="65" t="s">
        <v>137</v>
      </c>
      <c r="N20" s="65" t="s">
        <v>137</v>
      </c>
      <c r="O20" s="65" t="s">
        <v>137</v>
      </c>
      <c r="P20" s="65" t="s">
        <v>137</v>
      </c>
      <c r="Q20" s="65" t="s">
        <v>137</v>
      </c>
      <c r="R20" s="65" t="s">
        <v>169</v>
      </c>
      <c r="S20" s="65" t="s">
        <v>169</v>
      </c>
      <c r="T20" s="65" t="s">
        <v>137</v>
      </c>
      <c r="U20" s="65" t="s">
        <v>137</v>
      </c>
      <c r="V20" s="65" t="s">
        <v>137</v>
      </c>
      <c r="W20" s="65" t="s">
        <v>137</v>
      </c>
      <c r="X20" s="65" t="s">
        <v>137</v>
      </c>
      <c r="Y20" s="65" t="s">
        <v>169</v>
      </c>
      <c r="Z20" s="65" t="s">
        <v>169</v>
      </c>
      <c r="AA20" s="65" t="s">
        <v>137</v>
      </c>
      <c r="AB20" s="65" t="s">
        <v>137</v>
      </c>
      <c r="AC20" s="65" t="s">
        <v>137</v>
      </c>
      <c r="AD20" s="65" t="s">
        <v>137</v>
      </c>
      <c r="AE20" s="65" t="s">
        <v>137</v>
      </c>
      <c r="AF20" s="65" t="s">
        <v>169</v>
      </c>
      <c r="AG20" s="65" t="s">
        <v>169</v>
      </c>
      <c r="AH20" s="65" t="s">
        <v>137</v>
      </c>
      <c r="AI20" s="65" t="s">
        <v>137</v>
      </c>
      <c r="AJ20" s="65" t="s">
        <v>137</v>
      </c>
      <c r="AK20" s="65" t="s">
        <v>137</v>
      </c>
      <c r="AL20" s="65" t="s">
        <v>137</v>
      </c>
      <c r="AM20" s="65" t="s">
        <v>169</v>
      </c>
      <c r="AN20" s="65" t="s">
        <v>169</v>
      </c>
      <c r="AO20" s="65" t="s">
        <v>137</v>
      </c>
      <c r="AP20" s="65" t="s">
        <v>137</v>
      </c>
      <c r="AQ20" s="66">
        <f t="shared" si="5"/>
        <v>0</v>
      </c>
      <c r="AR20" s="66">
        <f t="shared" si="6"/>
        <v>0</v>
      </c>
      <c r="AS20" s="66">
        <f t="shared" si="7"/>
        <v>0</v>
      </c>
      <c r="AT20" s="66">
        <f t="shared" si="8"/>
        <v>0</v>
      </c>
      <c r="AU20" s="66">
        <f t="shared" si="9"/>
        <v>0</v>
      </c>
      <c r="AV20" s="66">
        <f t="shared" si="10"/>
        <v>0</v>
      </c>
      <c r="AW20" s="66">
        <f t="shared" si="11"/>
        <v>0</v>
      </c>
      <c r="AX20" s="66">
        <f t="shared" si="12"/>
        <v>9</v>
      </c>
    </row>
    <row r="21" spans="1:50" ht="16.5" customHeight="1" x14ac:dyDescent="0.35">
      <c r="A21" s="18">
        <v>14</v>
      </c>
      <c r="B21" s="30" t="s">
        <v>249</v>
      </c>
      <c r="C21" s="61" t="str">
        <f>IF($B21="","",IFERROR(INDEX(الموظفون!$C$6:$C$45,MATCH($B21,الموظفون!$B$6:$B$45,0)),""))</f>
        <v>لطيفة الشهري</v>
      </c>
      <c r="D21" s="62" t="str">
        <f>IF($B21="","",IFERROR(INDEX(الموظفون!$D$6:$D$45,MATCH($B21,الموظفون!$B$6:$B$45,0)),""))</f>
        <v>السلامة والصحة</v>
      </c>
      <c r="E21" s="51">
        <f t="shared" si="0"/>
        <v>22</v>
      </c>
      <c r="F21" s="46">
        <f t="shared" si="1"/>
        <v>22</v>
      </c>
      <c r="G21" s="51">
        <f t="shared" si="2"/>
        <v>0</v>
      </c>
      <c r="H21" s="51">
        <f t="shared" si="3"/>
        <v>0</v>
      </c>
      <c r="I21" s="63">
        <f t="shared" si="4"/>
        <v>1</v>
      </c>
      <c r="J21" s="64">
        <f>IF($B21="","",SUMIFS(التوقيت!$G$6:$G$405,التوقيت!$B$6:$B$405,$B21))</f>
        <v>0</v>
      </c>
      <c r="K21" s="46">
        <f>IF($B21="","",SUMIFS(التوقيت!$I$6:$I$405,التوقيت!$B$6:$B$405,$B21))</f>
        <v>0</v>
      </c>
      <c r="L21" s="65" t="s">
        <v>169</v>
      </c>
      <c r="M21" s="65" t="s">
        <v>137</v>
      </c>
      <c r="N21" s="65" t="s">
        <v>137</v>
      </c>
      <c r="O21" s="65" t="s">
        <v>137</v>
      </c>
      <c r="P21" s="65" t="s">
        <v>137</v>
      </c>
      <c r="Q21" s="65" t="s">
        <v>137</v>
      </c>
      <c r="R21" s="65" t="s">
        <v>169</v>
      </c>
      <c r="S21" s="65" t="s">
        <v>169</v>
      </c>
      <c r="T21" s="65" t="s">
        <v>137</v>
      </c>
      <c r="U21" s="65" t="s">
        <v>137</v>
      </c>
      <c r="V21" s="65" t="s">
        <v>137</v>
      </c>
      <c r="W21" s="65" t="s">
        <v>137</v>
      </c>
      <c r="X21" s="65" t="s">
        <v>137</v>
      </c>
      <c r="Y21" s="65" t="s">
        <v>169</v>
      </c>
      <c r="Z21" s="65" t="s">
        <v>169</v>
      </c>
      <c r="AA21" s="65" t="s">
        <v>137</v>
      </c>
      <c r="AB21" s="65" t="s">
        <v>137</v>
      </c>
      <c r="AC21" s="65" t="s">
        <v>137</v>
      </c>
      <c r="AD21" s="65" t="s">
        <v>137</v>
      </c>
      <c r="AE21" s="65" t="s">
        <v>137</v>
      </c>
      <c r="AF21" s="65" t="s">
        <v>169</v>
      </c>
      <c r="AG21" s="65" t="s">
        <v>169</v>
      </c>
      <c r="AH21" s="65" t="s">
        <v>137</v>
      </c>
      <c r="AI21" s="65" t="s">
        <v>137</v>
      </c>
      <c r="AJ21" s="65" t="s">
        <v>137</v>
      </c>
      <c r="AK21" s="65" t="s">
        <v>137</v>
      </c>
      <c r="AL21" s="65" t="s">
        <v>137</v>
      </c>
      <c r="AM21" s="65" t="s">
        <v>169</v>
      </c>
      <c r="AN21" s="65" t="s">
        <v>169</v>
      </c>
      <c r="AO21" s="65" t="s">
        <v>137</v>
      </c>
      <c r="AP21" s="65" t="s">
        <v>137</v>
      </c>
      <c r="AQ21" s="66">
        <f t="shared" si="5"/>
        <v>0</v>
      </c>
      <c r="AR21" s="66">
        <f t="shared" si="6"/>
        <v>0</v>
      </c>
      <c r="AS21" s="66">
        <f t="shared" si="7"/>
        <v>0</v>
      </c>
      <c r="AT21" s="66">
        <f t="shared" si="8"/>
        <v>0</v>
      </c>
      <c r="AU21" s="66">
        <f t="shared" si="9"/>
        <v>0</v>
      </c>
      <c r="AV21" s="66">
        <f t="shared" si="10"/>
        <v>0</v>
      </c>
      <c r="AW21" s="66">
        <f t="shared" si="11"/>
        <v>0</v>
      </c>
      <c r="AX21" s="66">
        <f t="shared" si="12"/>
        <v>9</v>
      </c>
    </row>
    <row r="22" spans="1:50" ht="16.5" customHeight="1" x14ac:dyDescent="0.35">
      <c r="A22" s="18">
        <v>15</v>
      </c>
      <c r="B22" s="30" t="s">
        <v>252</v>
      </c>
      <c r="C22" s="61" t="str">
        <f>IF($B22="","",IFERROR(INDEX(الموظفون!$C$6:$C$45,MATCH($B22,الموظفون!$B$6:$B$45,0)),""))</f>
        <v>سارة الشريف عبد الله</v>
      </c>
      <c r="D22" s="62" t="str">
        <f>IF($B22="","",IFERROR(INDEX(الموظفون!$D$6:$D$45,MATCH($B22,الموظفون!$B$6:$B$45,0)),""))</f>
        <v>السلامة والصحة</v>
      </c>
      <c r="E22" s="51">
        <f t="shared" si="0"/>
        <v>22</v>
      </c>
      <c r="F22" s="46">
        <f t="shared" si="1"/>
        <v>12</v>
      </c>
      <c r="G22" s="51">
        <f t="shared" si="2"/>
        <v>0</v>
      </c>
      <c r="H22" s="51">
        <f t="shared" si="3"/>
        <v>10</v>
      </c>
      <c r="I22" s="63">
        <f t="shared" si="4"/>
        <v>0.54545454545454541</v>
      </c>
      <c r="J22" s="64">
        <f>IF($B22="","",SUMIFS(التوقيت!$G$6:$G$405,التوقيت!$B$6:$B$405,$B22))</f>
        <v>424</v>
      </c>
      <c r="K22" s="46">
        <f>IF($B22="","",SUMIFS(التوقيت!$I$6:$I$405,التوقيت!$B$6:$B$405,$B22))</f>
        <v>6.2700000000000005</v>
      </c>
      <c r="L22" s="65" t="s">
        <v>169</v>
      </c>
      <c r="M22" s="65" t="s">
        <v>137</v>
      </c>
      <c r="N22" s="65" t="s">
        <v>149</v>
      </c>
      <c r="O22" s="65" t="s">
        <v>149</v>
      </c>
      <c r="P22" s="65" t="s">
        <v>149</v>
      </c>
      <c r="Q22" s="65" t="s">
        <v>149</v>
      </c>
      <c r="R22" s="65" t="s">
        <v>169</v>
      </c>
      <c r="S22" s="65" t="s">
        <v>169</v>
      </c>
      <c r="T22" s="65" t="s">
        <v>149</v>
      </c>
      <c r="U22" s="65" t="s">
        <v>149</v>
      </c>
      <c r="V22" s="65" t="s">
        <v>149</v>
      </c>
      <c r="W22" s="65" t="s">
        <v>149</v>
      </c>
      <c r="X22" s="65" t="s">
        <v>137</v>
      </c>
      <c r="Y22" s="65" t="s">
        <v>169</v>
      </c>
      <c r="Z22" s="65" t="s">
        <v>169</v>
      </c>
      <c r="AA22" s="65" t="s">
        <v>137</v>
      </c>
      <c r="AB22" s="65" t="s">
        <v>137</v>
      </c>
      <c r="AC22" s="65" t="s">
        <v>137</v>
      </c>
      <c r="AD22" s="65" t="s">
        <v>137</v>
      </c>
      <c r="AE22" s="65" t="s">
        <v>149</v>
      </c>
      <c r="AF22" s="65" t="s">
        <v>169</v>
      </c>
      <c r="AG22" s="65" t="s">
        <v>169</v>
      </c>
      <c r="AH22" s="65" t="s">
        <v>156</v>
      </c>
      <c r="AI22" s="65" t="s">
        <v>137</v>
      </c>
      <c r="AJ22" s="65" t="s">
        <v>137</v>
      </c>
      <c r="AK22" s="65" t="s">
        <v>137</v>
      </c>
      <c r="AL22" s="65" t="s">
        <v>137</v>
      </c>
      <c r="AM22" s="65" t="s">
        <v>169</v>
      </c>
      <c r="AN22" s="65" t="s">
        <v>169</v>
      </c>
      <c r="AO22" s="65" t="s">
        <v>137</v>
      </c>
      <c r="AP22" s="65" t="s">
        <v>137</v>
      </c>
      <c r="AQ22" s="66">
        <f t="shared" si="5"/>
        <v>9</v>
      </c>
      <c r="AR22" s="66">
        <f t="shared" si="6"/>
        <v>0</v>
      </c>
      <c r="AS22" s="66">
        <f t="shared" si="7"/>
        <v>1</v>
      </c>
      <c r="AT22" s="66">
        <f t="shared" si="8"/>
        <v>0</v>
      </c>
      <c r="AU22" s="66">
        <f t="shared" si="9"/>
        <v>0</v>
      </c>
      <c r="AV22" s="66">
        <f t="shared" si="10"/>
        <v>0</v>
      </c>
      <c r="AW22" s="66">
        <f t="shared" si="11"/>
        <v>0</v>
      </c>
      <c r="AX22" s="66">
        <f t="shared" si="12"/>
        <v>9</v>
      </c>
    </row>
    <row r="23" spans="1:50" ht="16.5" customHeight="1" x14ac:dyDescent="0.35">
      <c r="A23" s="18">
        <v>16</v>
      </c>
      <c r="B23" s="30" t="s">
        <v>254</v>
      </c>
      <c r="C23" s="61" t="str">
        <f>IF($B23="","",IFERROR(INDEX(الموظفون!$C$6:$C$45,MATCH($B23,الموظفون!$B$6:$B$45,0)),""))</f>
        <v>ريم القحطاني</v>
      </c>
      <c r="D23" s="62" t="str">
        <f>IF($B23="","",IFERROR(INDEX(الموظفون!$D$6:$D$45,MATCH($B23,الموظفون!$B$6:$B$45,0)),""))</f>
        <v>السلامة والصحة</v>
      </c>
      <c r="E23" s="51">
        <f t="shared" si="0"/>
        <v>22</v>
      </c>
      <c r="F23" s="46">
        <f t="shared" si="1"/>
        <v>21</v>
      </c>
      <c r="G23" s="51">
        <f t="shared" si="2"/>
        <v>0</v>
      </c>
      <c r="H23" s="51">
        <f t="shared" si="3"/>
        <v>1</v>
      </c>
      <c r="I23" s="63">
        <f t="shared" si="4"/>
        <v>0.95454545454545459</v>
      </c>
      <c r="J23" s="64">
        <f>IF($B23="","",SUMIFS(التوقيت!$G$6:$G$405,التوقيت!$B$6:$B$405,$B23))</f>
        <v>80</v>
      </c>
      <c r="K23" s="46">
        <f>IF($B23="","",SUMIFS(التوقيت!$I$6:$I$405,التوقيت!$B$6:$B$405,$B23))</f>
        <v>3.92</v>
      </c>
      <c r="L23" s="65" t="s">
        <v>169</v>
      </c>
      <c r="M23" s="65" t="s">
        <v>137</v>
      </c>
      <c r="N23" s="65" t="s">
        <v>137</v>
      </c>
      <c r="O23" s="65" t="s">
        <v>137</v>
      </c>
      <c r="P23" s="65" t="s">
        <v>137</v>
      </c>
      <c r="Q23" s="65" t="s">
        <v>137</v>
      </c>
      <c r="R23" s="65" t="s">
        <v>169</v>
      </c>
      <c r="S23" s="65" t="s">
        <v>169</v>
      </c>
      <c r="T23" s="65" t="s">
        <v>137</v>
      </c>
      <c r="U23" s="65" t="s">
        <v>137</v>
      </c>
      <c r="V23" s="65" t="s">
        <v>137</v>
      </c>
      <c r="W23" s="65" t="s">
        <v>137</v>
      </c>
      <c r="X23" s="65" t="s">
        <v>137</v>
      </c>
      <c r="Y23" s="65" t="s">
        <v>169</v>
      </c>
      <c r="Z23" s="65" t="s">
        <v>169</v>
      </c>
      <c r="AA23" s="65" t="s">
        <v>137</v>
      </c>
      <c r="AB23" s="65" t="s">
        <v>137</v>
      </c>
      <c r="AC23" s="65" t="s">
        <v>137</v>
      </c>
      <c r="AD23" s="65" t="s">
        <v>137</v>
      </c>
      <c r="AE23" s="65" t="s">
        <v>156</v>
      </c>
      <c r="AF23" s="65" t="s">
        <v>169</v>
      </c>
      <c r="AG23" s="65" t="s">
        <v>169</v>
      </c>
      <c r="AH23" s="65" t="s">
        <v>137</v>
      </c>
      <c r="AI23" s="65" t="s">
        <v>137</v>
      </c>
      <c r="AJ23" s="65" t="s">
        <v>137</v>
      </c>
      <c r="AK23" s="65" t="s">
        <v>137</v>
      </c>
      <c r="AL23" s="65" t="s">
        <v>137</v>
      </c>
      <c r="AM23" s="65" t="s">
        <v>169</v>
      </c>
      <c r="AN23" s="65" t="s">
        <v>169</v>
      </c>
      <c r="AO23" s="65" t="s">
        <v>137</v>
      </c>
      <c r="AP23" s="65" t="s">
        <v>137</v>
      </c>
      <c r="AQ23" s="66">
        <f t="shared" si="5"/>
        <v>0</v>
      </c>
      <c r="AR23" s="66">
        <f t="shared" si="6"/>
        <v>0</v>
      </c>
      <c r="AS23" s="66">
        <f t="shared" si="7"/>
        <v>1</v>
      </c>
      <c r="AT23" s="66">
        <f t="shared" si="8"/>
        <v>0</v>
      </c>
      <c r="AU23" s="66">
        <f t="shared" si="9"/>
        <v>0</v>
      </c>
      <c r="AV23" s="66">
        <f t="shared" si="10"/>
        <v>0</v>
      </c>
      <c r="AW23" s="66">
        <f t="shared" si="11"/>
        <v>0</v>
      </c>
      <c r="AX23" s="66">
        <f t="shared" si="12"/>
        <v>9</v>
      </c>
    </row>
    <row r="24" spans="1:50" ht="16.5" customHeight="1" x14ac:dyDescent="0.35">
      <c r="A24" s="18">
        <v>17</v>
      </c>
      <c r="B24" s="30" t="s">
        <v>256</v>
      </c>
      <c r="C24" s="61" t="str">
        <f>IF($B24="","",IFERROR(INDEX(الموظفون!$C$6:$C$45,MATCH($B24,الموظفون!$B$6:$B$45,0)),""))</f>
        <v>منى الغزالي</v>
      </c>
      <c r="D24" s="62" t="str">
        <f>IF($B24="","",IFERROR(INDEX(الموظفون!$D$6:$D$45,MATCH($B24,الموظفون!$B$6:$B$45,0)),""))</f>
        <v>الصيانة</v>
      </c>
      <c r="E24" s="51">
        <f t="shared" si="0"/>
        <v>22</v>
      </c>
      <c r="F24" s="46">
        <f t="shared" si="1"/>
        <v>18</v>
      </c>
      <c r="G24" s="51">
        <f t="shared" si="2"/>
        <v>1</v>
      </c>
      <c r="H24" s="51">
        <f t="shared" si="3"/>
        <v>3</v>
      </c>
      <c r="I24" s="63">
        <f t="shared" si="4"/>
        <v>0.81818181818181823</v>
      </c>
      <c r="J24" s="64">
        <f>IF($B24="","",SUMIFS(التوقيت!$G$6:$G$405,التوقيت!$B$6:$B$405,$B24))</f>
        <v>5</v>
      </c>
      <c r="K24" s="46">
        <f>IF($B24="","",SUMIFS(التوقيت!$I$6:$I$405,التوقيت!$B$6:$B$405,$B24))</f>
        <v>0</v>
      </c>
      <c r="L24" s="65" t="s">
        <v>169</v>
      </c>
      <c r="M24" s="65" t="s">
        <v>137</v>
      </c>
      <c r="N24" s="65" t="s">
        <v>137</v>
      </c>
      <c r="O24" s="65" t="s">
        <v>137</v>
      </c>
      <c r="P24" s="65" t="s">
        <v>137</v>
      </c>
      <c r="Q24" s="65" t="s">
        <v>137</v>
      </c>
      <c r="R24" s="65" t="s">
        <v>169</v>
      </c>
      <c r="S24" s="65" t="s">
        <v>169</v>
      </c>
      <c r="T24" s="65" t="s">
        <v>137</v>
      </c>
      <c r="U24" s="65" t="s">
        <v>137</v>
      </c>
      <c r="V24" s="65" t="s">
        <v>137</v>
      </c>
      <c r="W24" s="65" t="s">
        <v>149</v>
      </c>
      <c r="X24" s="65" t="s">
        <v>149</v>
      </c>
      <c r="Y24" s="65" t="s">
        <v>169</v>
      </c>
      <c r="Z24" s="65" t="s">
        <v>169</v>
      </c>
      <c r="AA24" s="65" t="s">
        <v>137</v>
      </c>
      <c r="AB24" s="65" t="s">
        <v>137</v>
      </c>
      <c r="AC24" s="65" t="s">
        <v>137</v>
      </c>
      <c r="AD24" s="65" t="s">
        <v>137</v>
      </c>
      <c r="AE24" s="65" t="s">
        <v>137</v>
      </c>
      <c r="AF24" s="65" t="s">
        <v>169</v>
      </c>
      <c r="AG24" s="65" t="s">
        <v>169</v>
      </c>
      <c r="AH24" s="65" t="s">
        <v>145</v>
      </c>
      <c r="AI24" s="65" t="s">
        <v>137</v>
      </c>
      <c r="AJ24" s="65" t="s">
        <v>137</v>
      </c>
      <c r="AK24" s="65" t="s">
        <v>137</v>
      </c>
      <c r="AL24" s="65" t="s">
        <v>149</v>
      </c>
      <c r="AM24" s="65" t="s">
        <v>169</v>
      </c>
      <c r="AN24" s="65" t="s">
        <v>169</v>
      </c>
      <c r="AO24" s="65" t="s">
        <v>137</v>
      </c>
      <c r="AP24" s="65" t="s">
        <v>137</v>
      </c>
      <c r="AQ24" s="66">
        <f t="shared" si="5"/>
        <v>3</v>
      </c>
      <c r="AR24" s="66">
        <f t="shared" si="6"/>
        <v>0</v>
      </c>
      <c r="AS24" s="66">
        <f t="shared" si="7"/>
        <v>0</v>
      </c>
      <c r="AT24" s="66">
        <f t="shared" si="8"/>
        <v>0</v>
      </c>
      <c r="AU24" s="66">
        <f t="shared" si="9"/>
        <v>0</v>
      </c>
      <c r="AV24" s="66">
        <f t="shared" si="10"/>
        <v>0</v>
      </c>
      <c r="AW24" s="66">
        <f t="shared" si="11"/>
        <v>0</v>
      </c>
      <c r="AX24" s="66">
        <f t="shared" si="12"/>
        <v>9</v>
      </c>
    </row>
    <row r="25" spans="1:50" ht="16.5" customHeight="1" x14ac:dyDescent="0.35">
      <c r="A25" s="18">
        <v>18</v>
      </c>
      <c r="B25" s="30" t="s">
        <v>260</v>
      </c>
      <c r="C25" s="61" t="str">
        <f>IF($B25="","",IFERROR(INDEX(الموظفون!$C$6:$C$45,MATCH($B25,الموظفون!$B$6:$B$45,0)),""))</f>
        <v>هيا الغانم</v>
      </c>
      <c r="D25" s="62" t="str">
        <f>IF($B25="","",IFERROR(INDEX(الموظفون!$D$6:$D$45,MATCH($B25,الموظفون!$B$6:$B$45,0)),""))</f>
        <v>الصيانة</v>
      </c>
      <c r="E25" s="51">
        <f t="shared" si="0"/>
        <v>22</v>
      </c>
      <c r="F25" s="46">
        <f t="shared" si="1"/>
        <v>14.5</v>
      </c>
      <c r="G25" s="51">
        <f t="shared" si="2"/>
        <v>5</v>
      </c>
      <c r="H25" s="51">
        <f t="shared" si="3"/>
        <v>2</v>
      </c>
      <c r="I25" s="63">
        <f t="shared" si="4"/>
        <v>0.65909090909090906</v>
      </c>
      <c r="J25" s="64">
        <f>IF($B25="","",SUMIFS(التوقيت!$G$6:$G$405,التوقيت!$B$6:$B$405,$B25))</f>
        <v>127</v>
      </c>
      <c r="K25" s="46">
        <f>IF($B25="","",SUMIFS(التوقيت!$I$6:$I$405,التوقيت!$B$6:$B$405,$B25))</f>
        <v>0</v>
      </c>
      <c r="L25" s="65" t="s">
        <v>169</v>
      </c>
      <c r="M25" s="65" t="s">
        <v>137</v>
      </c>
      <c r="N25" s="65" t="s">
        <v>145</v>
      </c>
      <c r="O25" s="65" t="s">
        <v>145</v>
      </c>
      <c r="P25" s="65" t="s">
        <v>137</v>
      </c>
      <c r="Q25" s="65" t="s">
        <v>137</v>
      </c>
      <c r="R25" s="65" t="s">
        <v>169</v>
      </c>
      <c r="S25" s="65" t="s">
        <v>169</v>
      </c>
      <c r="T25" s="65" t="s">
        <v>149</v>
      </c>
      <c r="U25" s="65" t="s">
        <v>145</v>
      </c>
      <c r="V25" s="65" t="s">
        <v>137</v>
      </c>
      <c r="W25" s="65" t="s">
        <v>137</v>
      </c>
      <c r="X25" s="65" t="s">
        <v>137</v>
      </c>
      <c r="Y25" s="65" t="s">
        <v>169</v>
      </c>
      <c r="Z25" s="65" t="s">
        <v>169</v>
      </c>
      <c r="AA25" s="65" t="s">
        <v>137</v>
      </c>
      <c r="AB25" s="65" t="s">
        <v>137</v>
      </c>
      <c r="AC25" s="65" t="s">
        <v>142</v>
      </c>
      <c r="AD25" s="65" t="s">
        <v>137</v>
      </c>
      <c r="AE25" s="65" t="s">
        <v>137</v>
      </c>
      <c r="AF25" s="65" t="s">
        <v>169</v>
      </c>
      <c r="AG25" s="65" t="s">
        <v>169</v>
      </c>
      <c r="AH25" s="65" t="s">
        <v>137</v>
      </c>
      <c r="AI25" s="65" t="s">
        <v>156</v>
      </c>
      <c r="AJ25" s="65" t="s">
        <v>137</v>
      </c>
      <c r="AK25" s="65" t="s">
        <v>137</v>
      </c>
      <c r="AL25" s="65" t="s">
        <v>145</v>
      </c>
      <c r="AM25" s="65" t="s">
        <v>169</v>
      </c>
      <c r="AN25" s="65" t="s">
        <v>169</v>
      </c>
      <c r="AO25" s="65" t="s">
        <v>137</v>
      </c>
      <c r="AP25" s="65" t="s">
        <v>145</v>
      </c>
      <c r="AQ25" s="66">
        <f t="shared" si="5"/>
        <v>1</v>
      </c>
      <c r="AR25" s="66">
        <f t="shared" si="6"/>
        <v>0</v>
      </c>
      <c r="AS25" s="66">
        <f t="shared" si="7"/>
        <v>1</v>
      </c>
      <c r="AT25" s="66">
        <f t="shared" si="8"/>
        <v>0</v>
      </c>
      <c r="AU25" s="66">
        <f t="shared" si="9"/>
        <v>0</v>
      </c>
      <c r="AV25" s="66">
        <f t="shared" si="10"/>
        <v>0</v>
      </c>
      <c r="AW25" s="66">
        <f t="shared" si="11"/>
        <v>0</v>
      </c>
      <c r="AX25" s="66">
        <f t="shared" si="12"/>
        <v>9</v>
      </c>
    </row>
    <row r="26" spans="1:50" ht="16.5" customHeight="1" x14ac:dyDescent="0.35">
      <c r="A26" s="18">
        <v>19</v>
      </c>
      <c r="B26" s="30" t="s">
        <v>262</v>
      </c>
      <c r="C26" s="61" t="str">
        <f>IF($B26="","",IFERROR(INDEX(الموظفون!$C$6:$C$45,MATCH($B26,الموظفون!$B$6:$B$45,0)),""))</f>
        <v>رانيا الخولي</v>
      </c>
      <c r="D26" s="62" t="str">
        <f>IF($B26="","",IFERROR(INDEX(الموظفون!$D$6:$D$45,MATCH($B26,الموظفون!$B$6:$B$45,0)),""))</f>
        <v>الصيانة</v>
      </c>
      <c r="E26" s="51">
        <f t="shared" si="0"/>
        <v>22</v>
      </c>
      <c r="F26" s="46">
        <f t="shared" si="1"/>
        <v>22</v>
      </c>
      <c r="G26" s="51">
        <f t="shared" si="2"/>
        <v>0</v>
      </c>
      <c r="H26" s="51">
        <f t="shared" si="3"/>
        <v>0</v>
      </c>
      <c r="I26" s="63">
        <f t="shared" si="4"/>
        <v>1</v>
      </c>
      <c r="J26" s="64">
        <f>IF($B26="","",SUMIFS(التوقيت!$G$6:$G$405,التوقيت!$B$6:$B$405,$B26))</f>
        <v>157</v>
      </c>
      <c r="K26" s="46">
        <f>IF($B26="","",SUMIFS(التوقيت!$I$6:$I$405,التوقيت!$B$6:$B$405,$B26))</f>
        <v>1.67</v>
      </c>
      <c r="L26" s="65" t="s">
        <v>169</v>
      </c>
      <c r="M26" s="65" t="s">
        <v>137</v>
      </c>
      <c r="N26" s="65" t="s">
        <v>137</v>
      </c>
      <c r="O26" s="65" t="s">
        <v>137</v>
      </c>
      <c r="P26" s="65" t="s">
        <v>137</v>
      </c>
      <c r="Q26" s="65" t="s">
        <v>137</v>
      </c>
      <c r="R26" s="65" t="s">
        <v>169</v>
      </c>
      <c r="S26" s="65" t="s">
        <v>169</v>
      </c>
      <c r="T26" s="65" t="s">
        <v>137</v>
      </c>
      <c r="U26" s="65" t="s">
        <v>137</v>
      </c>
      <c r="V26" s="65" t="s">
        <v>137</v>
      </c>
      <c r="W26" s="65" t="s">
        <v>137</v>
      </c>
      <c r="X26" s="65" t="s">
        <v>137</v>
      </c>
      <c r="Y26" s="65" t="s">
        <v>169</v>
      </c>
      <c r="Z26" s="65" t="s">
        <v>169</v>
      </c>
      <c r="AA26" s="65" t="s">
        <v>137</v>
      </c>
      <c r="AB26" s="65" t="s">
        <v>137</v>
      </c>
      <c r="AC26" s="65" t="s">
        <v>137</v>
      </c>
      <c r="AD26" s="65" t="s">
        <v>137</v>
      </c>
      <c r="AE26" s="65" t="s">
        <v>137</v>
      </c>
      <c r="AF26" s="65" t="s">
        <v>169</v>
      </c>
      <c r="AG26" s="65" t="s">
        <v>169</v>
      </c>
      <c r="AH26" s="65" t="s">
        <v>137</v>
      </c>
      <c r="AI26" s="65" t="s">
        <v>137</v>
      </c>
      <c r="AJ26" s="65" t="s">
        <v>137</v>
      </c>
      <c r="AK26" s="65" t="s">
        <v>137</v>
      </c>
      <c r="AL26" s="65" t="s">
        <v>137</v>
      </c>
      <c r="AM26" s="65" t="s">
        <v>169</v>
      </c>
      <c r="AN26" s="65" t="s">
        <v>169</v>
      </c>
      <c r="AO26" s="65" t="s">
        <v>137</v>
      </c>
      <c r="AP26" s="65" t="s">
        <v>137</v>
      </c>
      <c r="AQ26" s="66">
        <f t="shared" si="5"/>
        <v>0</v>
      </c>
      <c r="AR26" s="66">
        <f t="shared" si="6"/>
        <v>0</v>
      </c>
      <c r="AS26" s="66">
        <f t="shared" si="7"/>
        <v>0</v>
      </c>
      <c r="AT26" s="66">
        <f t="shared" si="8"/>
        <v>0</v>
      </c>
      <c r="AU26" s="66">
        <f t="shared" si="9"/>
        <v>0</v>
      </c>
      <c r="AV26" s="66">
        <f t="shared" si="10"/>
        <v>0</v>
      </c>
      <c r="AW26" s="66">
        <f t="shared" si="11"/>
        <v>0</v>
      </c>
      <c r="AX26" s="66">
        <f t="shared" si="12"/>
        <v>9</v>
      </c>
    </row>
    <row r="27" spans="1:50" ht="16.5" customHeight="1" x14ac:dyDescent="0.35">
      <c r="A27" s="18">
        <v>20</v>
      </c>
      <c r="B27" s="30" t="s">
        <v>264</v>
      </c>
      <c r="C27" s="61" t="str">
        <f>IF($B27="","",IFERROR(INDEX(الموظفون!$C$6:$C$45,MATCH($B27,الموظفون!$B$6:$B$45,0)),""))</f>
        <v>أروى العسيري</v>
      </c>
      <c r="D27" s="62" t="str">
        <f>IF($B27="","",IFERROR(INDEX(الموظفون!$D$6:$D$45,MATCH($B27,الموظفون!$B$6:$B$45,0)),""))</f>
        <v>الصيانة</v>
      </c>
      <c r="E27" s="51">
        <f t="shared" si="0"/>
        <v>22</v>
      </c>
      <c r="F27" s="46">
        <f t="shared" si="1"/>
        <v>21</v>
      </c>
      <c r="G27" s="51">
        <f t="shared" si="2"/>
        <v>0</v>
      </c>
      <c r="H27" s="51">
        <f t="shared" si="3"/>
        <v>1</v>
      </c>
      <c r="I27" s="63">
        <f t="shared" si="4"/>
        <v>0.95454545454545459</v>
      </c>
      <c r="J27" s="64">
        <f>IF($B27="","",SUMIFS(التوقيت!$G$6:$G$405,التوقيت!$B$6:$B$405,$B27))</f>
        <v>55</v>
      </c>
      <c r="K27" s="46">
        <f>IF($B27="","",SUMIFS(التوقيت!$I$6:$I$405,التوقيت!$B$6:$B$405,$B27))</f>
        <v>0</v>
      </c>
      <c r="L27" s="65" t="s">
        <v>169</v>
      </c>
      <c r="M27" s="65" t="s">
        <v>156</v>
      </c>
      <c r="N27" s="65" t="s">
        <v>137</v>
      </c>
      <c r="O27" s="65" t="s">
        <v>137</v>
      </c>
      <c r="P27" s="65" t="s">
        <v>137</v>
      </c>
      <c r="Q27" s="65" t="s">
        <v>137</v>
      </c>
      <c r="R27" s="65" t="s">
        <v>169</v>
      </c>
      <c r="S27" s="65" t="s">
        <v>169</v>
      </c>
      <c r="T27" s="65" t="s">
        <v>137</v>
      </c>
      <c r="U27" s="65" t="s">
        <v>137</v>
      </c>
      <c r="V27" s="65" t="s">
        <v>137</v>
      </c>
      <c r="W27" s="65" t="s">
        <v>137</v>
      </c>
      <c r="X27" s="65" t="s">
        <v>137</v>
      </c>
      <c r="Y27" s="65" t="s">
        <v>169</v>
      </c>
      <c r="Z27" s="65" t="s">
        <v>169</v>
      </c>
      <c r="AA27" s="65" t="s">
        <v>137</v>
      </c>
      <c r="AB27" s="65" t="s">
        <v>137</v>
      </c>
      <c r="AC27" s="65" t="s">
        <v>137</v>
      </c>
      <c r="AD27" s="65" t="s">
        <v>137</v>
      </c>
      <c r="AE27" s="65" t="s">
        <v>137</v>
      </c>
      <c r="AF27" s="65" t="s">
        <v>169</v>
      </c>
      <c r="AG27" s="65" t="s">
        <v>169</v>
      </c>
      <c r="AH27" s="65" t="s">
        <v>137</v>
      </c>
      <c r="AI27" s="65" t="s">
        <v>137</v>
      </c>
      <c r="AJ27" s="65" t="s">
        <v>137</v>
      </c>
      <c r="AK27" s="65" t="s">
        <v>137</v>
      </c>
      <c r="AL27" s="65" t="s">
        <v>137</v>
      </c>
      <c r="AM27" s="65" t="s">
        <v>169</v>
      </c>
      <c r="AN27" s="65" t="s">
        <v>169</v>
      </c>
      <c r="AO27" s="65" t="s">
        <v>137</v>
      </c>
      <c r="AP27" s="65" t="s">
        <v>137</v>
      </c>
      <c r="AQ27" s="66">
        <f t="shared" si="5"/>
        <v>0</v>
      </c>
      <c r="AR27" s="66">
        <f t="shared" si="6"/>
        <v>0</v>
      </c>
      <c r="AS27" s="66">
        <f t="shared" si="7"/>
        <v>1</v>
      </c>
      <c r="AT27" s="66">
        <f t="shared" si="8"/>
        <v>0</v>
      </c>
      <c r="AU27" s="66">
        <f t="shared" si="9"/>
        <v>0</v>
      </c>
      <c r="AV27" s="66">
        <f t="shared" si="10"/>
        <v>0</v>
      </c>
      <c r="AW27" s="66">
        <f t="shared" si="11"/>
        <v>0</v>
      </c>
      <c r="AX27" s="66">
        <f t="shared" si="12"/>
        <v>9</v>
      </c>
    </row>
    <row r="28" spans="1:50" ht="16.5" customHeight="1" x14ac:dyDescent="0.35">
      <c r="A28" s="18">
        <v>21</v>
      </c>
      <c r="B28" s="30" t="s">
        <v>266</v>
      </c>
      <c r="C28" s="61" t="str">
        <f>IF($B28="","",IFERROR(INDEX(الموظفون!$C$6:$C$45,MATCH($B28,الموظفون!$B$6:$B$45,0)),""))</f>
        <v>مصطفى فهمي عبد الجواد</v>
      </c>
      <c r="D28" s="62" t="str">
        <f>IF($B28="","",IFERROR(INDEX(الموظفون!$D$6:$D$45,MATCH($B28,الموظفون!$B$6:$B$45,0)),""))</f>
        <v>المستودع</v>
      </c>
      <c r="E28" s="51">
        <f t="shared" si="0"/>
        <v>22</v>
      </c>
      <c r="F28" s="46">
        <f t="shared" si="1"/>
        <v>19</v>
      </c>
      <c r="G28" s="51">
        <f t="shared" si="2"/>
        <v>0</v>
      </c>
      <c r="H28" s="51">
        <f t="shared" si="3"/>
        <v>3</v>
      </c>
      <c r="I28" s="63">
        <f t="shared" si="4"/>
        <v>0.86363636363636365</v>
      </c>
      <c r="J28" s="64">
        <f>IF($B28="","",SUMIFS(التوقيت!$G$6:$G$405,التوقيت!$B$6:$B$405,$B28))</f>
        <v>150</v>
      </c>
      <c r="K28" s="46">
        <f>IF($B28="","",SUMIFS(التوقيت!$I$6:$I$405,التوقيت!$B$6:$B$405,$B28))</f>
        <v>0</v>
      </c>
      <c r="L28" s="65" t="s">
        <v>169</v>
      </c>
      <c r="M28" s="65" t="s">
        <v>137</v>
      </c>
      <c r="N28" s="65" t="s">
        <v>137</v>
      </c>
      <c r="O28" s="65" t="s">
        <v>137</v>
      </c>
      <c r="P28" s="65" t="s">
        <v>149</v>
      </c>
      <c r="Q28" s="65" t="s">
        <v>137</v>
      </c>
      <c r="R28" s="65" t="s">
        <v>169</v>
      </c>
      <c r="S28" s="65" t="s">
        <v>169</v>
      </c>
      <c r="T28" s="65" t="s">
        <v>137</v>
      </c>
      <c r="U28" s="65" t="s">
        <v>137</v>
      </c>
      <c r="V28" s="65" t="s">
        <v>137</v>
      </c>
      <c r="W28" s="65" t="s">
        <v>137</v>
      </c>
      <c r="X28" s="65" t="s">
        <v>137</v>
      </c>
      <c r="Y28" s="65" t="s">
        <v>169</v>
      </c>
      <c r="Z28" s="65" t="s">
        <v>169</v>
      </c>
      <c r="AA28" s="65" t="s">
        <v>156</v>
      </c>
      <c r="AB28" s="65" t="s">
        <v>156</v>
      </c>
      <c r="AC28" s="65" t="s">
        <v>137</v>
      </c>
      <c r="AD28" s="65" t="s">
        <v>137</v>
      </c>
      <c r="AE28" s="65" t="s">
        <v>137</v>
      </c>
      <c r="AF28" s="65" t="s">
        <v>169</v>
      </c>
      <c r="AG28" s="65" t="s">
        <v>169</v>
      </c>
      <c r="AH28" s="65" t="s">
        <v>137</v>
      </c>
      <c r="AI28" s="65" t="s">
        <v>137</v>
      </c>
      <c r="AJ28" s="65" t="s">
        <v>137</v>
      </c>
      <c r="AK28" s="65" t="s">
        <v>137</v>
      </c>
      <c r="AL28" s="65" t="s">
        <v>137</v>
      </c>
      <c r="AM28" s="65" t="s">
        <v>169</v>
      </c>
      <c r="AN28" s="65" t="s">
        <v>169</v>
      </c>
      <c r="AO28" s="65" t="s">
        <v>137</v>
      </c>
      <c r="AP28" s="65" t="s">
        <v>137</v>
      </c>
      <c r="AQ28" s="66">
        <f t="shared" si="5"/>
        <v>1</v>
      </c>
      <c r="AR28" s="66">
        <f t="shared" si="6"/>
        <v>0</v>
      </c>
      <c r="AS28" s="66">
        <f t="shared" si="7"/>
        <v>2</v>
      </c>
      <c r="AT28" s="66">
        <f t="shared" si="8"/>
        <v>0</v>
      </c>
      <c r="AU28" s="66">
        <f t="shared" si="9"/>
        <v>0</v>
      </c>
      <c r="AV28" s="66">
        <f t="shared" si="10"/>
        <v>0</v>
      </c>
      <c r="AW28" s="66">
        <f t="shared" si="11"/>
        <v>0</v>
      </c>
      <c r="AX28" s="66">
        <f t="shared" si="12"/>
        <v>9</v>
      </c>
    </row>
    <row r="29" spans="1:50" ht="16.5" customHeight="1" x14ac:dyDescent="0.35">
      <c r="A29" s="18">
        <v>22</v>
      </c>
      <c r="B29" s="30" t="s">
        <v>269</v>
      </c>
      <c r="C29" s="61" t="str">
        <f>IF($B29="","",IFERROR(INDEX(الموظفون!$C$6:$C$45,MATCH($B29,الموظفون!$B$6:$B$45,0)),""))</f>
        <v>تركي العنزي</v>
      </c>
      <c r="D29" s="62" t="str">
        <f>IF($B29="","",IFERROR(INDEX(الموظفون!$D$6:$D$45,MATCH($B29,الموظفون!$B$6:$B$45,0)),""))</f>
        <v>المستودع</v>
      </c>
      <c r="E29" s="51">
        <f t="shared" si="0"/>
        <v>22</v>
      </c>
      <c r="F29" s="46">
        <f t="shared" si="1"/>
        <v>9</v>
      </c>
      <c r="G29" s="51">
        <f t="shared" si="2"/>
        <v>13</v>
      </c>
      <c r="H29" s="51">
        <f t="shared" si="3"/>
        <v>0</v>
      </c>
      <c r="I29" s="63">
        <f t="shared" si="4"/>
        <v>0.40909090909090912</v>
      </c>
      <c r="J29" s="64">
        <f>IF($B29="","",SUMIFS(التوقيت!$G$6:$G$405,التوقيت!$B$6:$B$405,$B29))</f>
        <v>42</v>
      </c>
      <c r="K29" s="46">
        <f>IF($B29="","",SUMIFS(التوقيت!$I$6:$I$405,التوقيت!$B$6:$B$405,$B29))</f>
        <v>1.92</v>
      </c>
      <c r="L29" s="65" t="s">
        <v>169</v>
      </c>
      <c r="M29" s="65" t="s">
        <v>137</v>
      </c>
      <c r="N29" s="65" t="s">
        <v>137</v>
      </c>
      <c r="O29" s="65" t="s">
        <v>137</v>
      </c>
      <c r="P29" s="65" t="s">
        <v>137</v>
      </c>
      <c r="Q29" s="65" t="s">
        <v>137</v>
      </c>
      <c r="R29" s="65" t="s">
        <v>169</v>
      </c>
      <c r="S29" s="65" t="s">
        <v>169</v>
      </c>
      <c r="T29" s="65" t="s">
        <v>137</v>
      </c>
      <c r="U29" s="65" t="s">
        <v>145</v>
      </c>
      <c r="V29" s="65" t="s">
        <v>145</v>
      </c>
      <c r="W29" s="65" t="s">
        <v>145</v>
      </c>
      <c r="X29" s="65" t="s">
        <v>145</v>
      </c>
      <c r="Y29" s="65" t="s">
        <v>169</v>
      </c>
      <c r="Z29" s="65" t="s">
        <v>169</v>
      </c>
      <c r="AA29" s="65" t="s">
        <v>145</v>
      </c>
      <c r="AB29" s="65" t="s">
        <v>145</v>
      </c>
      <c r="AC29" s="65" t="s">
        <v>145</v>
      </c>
      <c r="AD29" s="65" t="s">
        <v>145</v>
      </c>
      <c r="AE29" s="65" t="s">
        <v>145</v>
      </c>
      <c r="AF29" s="65" t="s">
        <v>169</v>
      </c>
      <c r="AG29" s="65" t="s">
        <v>169</v>
      </c>
      <c r="AH29" s="65" t="s">
        <v>145</v>
      </c>
      <c r="AI29" s="65" t="s">
        <v>145</v>
      </c>
      <c r="AJ29" s="65" t="s">
        <v>145</v>
      </c>
      <c r="AK29" s="65" t="s">
        <v>137</v>
      </c>
      <c r="AL29" s="65" t="s">
        <v>145</v>
      </c>
      <c r="AM29" s="65" t="s">
        <v>169</v>
      </c>
      <c r="AN29" s="65" t="s">
        <v>169</v>
      </c>
      <c r="AO29" s="65" t="s">
        <v>137</v>
      </c>
      <c r="AP29" s="65" t="s">
        <v>137</v>
      </c>
      <c r="AQ29" s="66">
        <f t="shared" si="5"/>
        <v>0</v>
      </c>
      <c r="AR29" s="66">
        <f t="shared" si="6"/>
        <v>0</v>
      </c>
      <c r="AS29" s="66">
        <f t="shared" si="7"/>
        <v>0</v>
      </c>
      <c r="AT29" s="66">
        <f t="shared" si="8"/>
        <v>0</v>
      </c>
      <c r="AU29" s="66">
        <f t="shared" si="9"/>
        <v>0</v>
      </c>
      <c r="AV29" s="66">
        <f t="shared" si="10"/>
        <v>0</v>
      </c>
      <c r="AW29" s="66">
        <f t="shared" si="11"/>
        <v>0</v>
      </c>
      <c r="AX29" s="66">
        <f t="shared" si="12"/>
        <v>9</v>
      </c>
    </row>
    <row r="30" spans="1:50" ht="16.5" customHeight="1" x14ac:dyDescent="0.35">
      <c r="A30" s="18">
        <v>23</v>
      </c>
      <c r="B30" s="30" t="s">
        <v>270</v>
      </c>
      <c r="C30" s="61" t="str">
        <f>IF($B30="","",IFERROR(INDEX(الموظفون!$C$6:$C$45,MATCH($B30,الموظفون!$B$6:$B$45,0)),""))</f>
        <v>تامر النجار</v>
      </c>
      <c r="D30" s="62" t="str">
        <f>IF($B30="","",IFERROR(INDEX(الموظفون!$D$6:$D$45,MATCH($B30,الموظفون!$B$6:$B$45,0)),""))</f>
        <v>المستودع</v>
      </c>
      <c r="E30" s="51">
        <f t="shared" si="0"/>
        <v>22</v>
      </c>
      <c r="F30" s="46">
        <f t="shared" si="1"/>
        <v>22</v>
      </c>
      <c r="G30" s="51">
        <f t="shared" si="2"/>
        <v>0</v>
      </c>
      <c r="H30" s="51">
        <f t="shared" si="3"/>
        <v>0</v>
      </c>
      <c r="I30" s="63">
        <f t="shared" si="4"/>
        <v>1</v>
      </c>
      <c r="J30" s="64">
        <f>IF($B30="","",SUMIFS(التوقيت!$G$6:$G$405,التوقيت!$B$6:$B$405,$B30))</f>
        <v>17</v>
      </c>
      <c r="K30" s="46">
        <f>IF($B30="","",SUMIFS(التوقيت!$I$6:$I$405,التوقيت!$B$6:$B$405,$B30))</f>
        <v>0</v>
      </c>
      <c r="L30" s="65" t="s">
        <v>169</v>
      </c>
      <c r="M30" s="65" t="s">
        <v>137</v>
      </c>
      <c r="N30" s="65" t="s">
        <v>137</v>
      </c>
      <c r="O30" s="65" t="s">
        <v>137</v>
      </c>
      <c r="P30" s="65" t="s">
        <v>137</v>
      </c>
      <c r="Q30" s="65" t="s">
        <v>137</v>
      </c>
      <c r="R30" s="65" t="s">
        <v>169</v>
      </c>
      <c r="S30" s="65" t="s">
        <v>169</v>
      </c>
      <c r="T30" s="65" t="s">
        <v>137</v>
      </c>
      <c r="U30" s="65" t="s">
        <v>137</v>
      </c>
      <c r="V30" s="65" t="s">
        <v>137</v>
      </c>
      <c r="W30" s="65" t="s">
        <v>137</v>
      </c>
      <c r="X30" s="65" t="s">
        <v>137</v>
      </c>
      <c r="Y30" s="65" t="s">
        <v>169</v>
      </c>
      <c r="Z30" s="65" t="s">
        <v>169</v>
      </c>
      <c r="AA30" s="65" t="s">
        <v>137</v>
      </c>
      <c r="AB30" s="65" t="s">
        <v>137</v>
      </c>
      <c r="AC30" s="65" t="s">
        <v>137</v>
      </c>
      <c r="AD30" s="65" t="s">
        <v>137</v>
      </c>
      <c r="AE30" s="65" t="s">
        <v>137</v>
      </c>
      <c r="AF30" s="65" t="s">
        <v>169</v>
      </c>
      <c r="AG30" s="65" t="s">
        <v>169</v>
      </c>
      <c r="AH30" s="65" t="s">
        <v>137</v>
      </c>
      <c r="AI30" s="65" t="s">
        <v>137</v>
      </c>
      <c r="AJ30" s="65" t="s">
        <v>137</v>
      </c>
      <c r="AK30" s="65" t="s">
        <v>137</v>
      </c>
      <c r="AL30" s="65" t="s">
        <v>137</v>
      </c>
      <c r="AM30" s="65" t="s">
        <v>169</v>
      </c>
      <c r="AN30" s="65" t="s">
        <v>169</v>
      </c>
      <c r="AO30" s="65" t="s">
        <v>137</v>
      </c>
      <c r="AP30" s="65" t="s">
        <v>137</v>
      </c>
      <c r="AQ30" s="66">
        <f t="shared" si="5"/>
        <v>0</v>
      </c>
      <c r="AR30" s="66">
        <f t="shared" si="6"/>
        <v>0</v>
      </c>
      <c r="AS30" s="66">
        <f t="shared" si="7"/>
        <v>0</v>
      </c>
      <c r="AT30" s="66">
        <f t="shared" si="8"/>
        <v>0</v>
      </c>
      <c r="AU30" s="66">
        <f t="shared" si="9"/>
        <v>0</v>
      </c>
      <c r="AV30" s="66">
        <f t="shared" si="10"/>
        <v>0</v>
      </c>
      <c r="AW30" s="66">
        <f t="shared" si="11"/>
        <v>0</v>
      </c>
      <c r="AX30" s="66">
        <f t="shared" si="12"/>
        <v>9</v>
      </c>
    </row>
    <row r="31" spans="1:50" ht="16.5" customHeight="1" x14ac:dyDescent="0.35">
      <c r="A31" s="18">
        <v>24</v>
      </c>
      <c r="B31" s="30" t="s">
        <v>272</v>
      </c>
      <c r="C31" s="61" t="str">
        <f>IF($B31="","",IFERROR(INDEX(الموظفون!$C$6:$C$45,MATCH($B31,الموظفون!$B$6:$B$45,0)),""))</f>
        <v>نايف السبيعي</v>
      </c>
      <c r="D31" s="62" t="str">
        <f>IF($B31="","",IFERROR(INDEX(الموظفون!$D$6:$D$45,MATCH($B31,الموظفون!$B$6:$B$45,0)),""))</f>
        <v>المستودع</v>
      </c>
      <c r="E31" s="51">
        <f t="shared" si="0"/>
        <v>22</v>
      </c>
      <c r="F31" s="46">
        <f t="shared" si="1"/>
        <v>21</v>
      </c>
      <c r="G31" s="51">
        <f t="shared" si="2"/>
        <v>0</v>
      </c>
      <c r="H31" s="51">
        <f t="shared" si="3"/>
        <v>1</v>
      </c>
      <c r="I31" s="63">
        <f t="shared" si="4"/>
        <v>0.95454545454545459</v>
      </c>
      <c r="J31" s="64">
        <f>IF($B31="","",SUMIFS(التوقيت!$G$6:$G$405,التوقيت!$B$6:$B$405,$B31))</f>
        <v>17</v>
      </c>
      <c r="K31" s="46">
        <f>IF($B31="","",SUMIFS(التوقيت!$I$6:$I$405,التوقيت!$B$6:$B$405,$B31))</f>
        <v>0</v>
      </c>
      <c r="L31" s="65" t="s">
        <v>169</v>
      </c>
      <c r="M31" s="65" t="s">
        <v>137</v>
      </c>
      <c r="N31" s="65" t="s">
        <v>137</v>
      </c>
      <c r="O31" s="65" t="s">
        <v>137</v>
      </c>
      <c r="P31" s="65" t="s">
        <v>149</v>
      </c>
      <c r="Q31" s="65" t="s">
        <v>137</v>
      </c>
      <c r="R31" s="65" t="s">
        <v>169</v>
      </c>
      <c r="S31" s="65" t="s">
        <v>169</v>
      </c>
      <c r="T31" s="65" t="s">
        <v>137</v>
      </c>
      <c r="U31" s="65" t="s">
        <v>137</v>
      </c>
      <c r="V31" s="65" t="s">
        <v>137</v>
      </c>
      <c r="W31" s="65" t="s">
        <v>137</v>
      </c>
      <c r="X31" s="65" t="s">
        <v>137</v>
      </c>
      <c r="Y31" s="65" t="s">
        <v>169</v>
      </c>
      <c r="Z31" s="65" t="s">
        <v>169</v>
      </c>
      <c r="AA31" s="65" t="s">
        <v>137</v>
      </c>
      <c r="AB31" s="65" t="s">
        <v>137</v>
      </c>
      <c r="AC31" s="65" t="s">
        <v>137</v>
      </c>
      <c r="AD31" s="65" t="s">
        <v>137</v>
      </c>
      <c r="AE31" s="65" t="s">
        <v>137</v>
      </c>
      <c r="AF31" s="65" t="s">
        <v>169</v>
      </c>
      <c r="AG31" s="65" t="s">
        <v>169</v>
      </c>
      <c r="AH31" s="65" t="s">
        <v>137</v>
      </c>
      <c r="AI31" s="65" t="s">
        <v>137</v>
      </c>
      <c r="AJ31" s="65" t="s">
        <v>137</v>
      </c>
      <c r="AK31" s="65" t="s">
        <v>137</v>
      </c>
      <c r="AL31" s="65" t="s">
        <v>137</v>
      </c>
      <c r="AM31" s="65" t="s">
        <v>169</v>
      </c>
      <c r="AN31" s="65" t="s">
        <v>169</v>
      </c>
      <c r="AO31" s="65" t="s">
        <v>137</v>
      </c>
      <c r="AP31" s="65" t="s">
        <v>137</v>
      </c>
      <c r="AQ31" s="66">
        <f t="shared" si="5"/>
        <v>1</v>
      </c>
      <c r="AR31" s="66">
        <f t="shared" si="6"/>
        <v>0</v>
      </c>
      <c r="AS31" s="66">
        <f t="shared" si="7"/>
        <v>0</v>
      </c>
      <c r="AT31" s="66">
        <f t="shared" si="8"/>
        <v>0</v>
      </c>
      <c r="AU31" s="66">
        <f t="shared" si="9"/>
        <v>0</v>
      </c>
      <c r="AV31" s="66">
        <f t="shared" si="10"/>
        <v>0</v>
      </c>
      <c r="AW31" s="66">
        <f t="shared" si="11"/>
        <v>0</v>
      </c>
      <c r="AX31" s="66">
        <f t="shared" si="12"/>
        <v>9</v>
      </c>
    </row>
    <row r="32" spans="1:50" ht="16.5" customHeight="1" x14ac:dyDescent="0.35">
      <c r="A32" s="18">
        <v>25</v>
      </c>
      <c r="B32" s="30" t="s">
        <v>275</v>
      </c>
      <c r="C32" s="61" t="str">
        <f>IF($B32="","",IFERROR(INDEX(الموظفون!$C$6:$C$45,MATCH($B32,الموظفون!$B$6:$B$45,0)),""))</f>
        <v>إيمان صابر رفعت</v>
      </c>
      <c r="D32" s="62" t="str">
        <f>IF($B32="","",IFERROR(INDEX(الموظفون!$D$6:$D$45,MATCH($B32,الموظفون!$B$6:$B$45,0)),""))</f>
        <v>الإدارة</v>
      </c>
      <c r="E32" s="51">
        <f t="shared" si="0"/>
        <v>22</v>
      </c>
      <c r="F32" s="46">
        <f t="shared" si="1"/>
        <v>21</v>
      </c>
      <c r="G32" s="51">
        <f t="shared" si="2"/>
        <v>0</v>
      </c>
      <c r="H32" s="51">
        <f t="shared" si="3"/>
        <v>1</v>
      </c>
      <c r="I32" s="63">
        <f t="shared" si="4"/>
        <v>0.95454545454545459</v>
      </c>
      <c r="J32" s="64">
        <f>IF($B32="","",SUMIFS(التوقيت!$G$6:$G$405,التوقيت!$B$6:$B$405,$B32))</f>
        <v>5</v>
      </c>
      <c r="K32" s="46">
        <f>IF($B32="","",SUMIFS(التوقيت!$I$6:$I$405,التوقيت!$B$6:$B$405,$B32))</f>
        <v>1</v>
      </c>
      <c r="L32" s="65" t="s">
        <v>169</v>
      </c>
      <c r="M32" s="65" t="s">
        <v>137</v>
      </c>
      <c r="N32" s="65" t="s">
        <v>137</v>
      </c>
      <c r="O32" s="65" t="s">
        <v>137</v>
      </c>
      <c r="P32" s="65" t="s">
        <v>137</v>
      </c>
      <c r="Q32" s="65" t="s">
        <v>137</v>
      </c>
      <c r="R32" s="65" t="s">
        <v>169</v>
      </c>
      <c r="S32" s="65" t="s">
        <v>169</v>
      </c>
      <c r="T32" s="65" t="s">
        <v>137</v>
      </c>
      <c r="U32" s="65" t="s">
        <v>137</v>
      </c>
      <c r="V32" s="65" t="s">
        <v>137</v>
      </c>
      <c r="W32" s="65" t="s">
        <v>137</v>
      </c>
      <c r="X32" s="65" t="s">
        <v>137</v>
      </c>
      <c r="Y32" s="65" t="s">
        <v>169</v>
      </c>
      <c r="Z32" s="65" t="s">
        <v>169</v>
      </c>
      <c r="AA32" s="65" t="s">
        <v>137</v>
      </c>
      <c r="AB32" s="65" t="s">
        <v>137</v>
      </c>
      <c r="AC32" s="65" t="s">
        <v>137</v>
      </c>
      <c r="AD32" s="65" t="s">
        <v>137</v>
      </c>
      <c r="AE32" s="65" t="s">
        <v>137</v>
      </c>
      <c r="AF32" s="65" t="s">
        <v>169</v>
      </c>
      <c r="AG32" s="65" t="s">
        <v>169</v>
      </c>
      <c r="AH32" s="65" t="s">
        <v>137</v>
      </c>
      <c r="AI32" s="65" t="s">
        <v>137</v>
      </c>
      <c r="AJ32" s="65" t="s">
        <v>137</v>
      </c>
      <c r="AK32" s="65" t="s">
        <v>137</v>
      </c>
      <c r="AL32" s="65" t="s">
        <v>137</v>
      </c>
      <c r="AM32" s="65" t="s">
        <v>169</v>
      </c>
      <c r="AN32" s="65" t="s">
        <v>169</v>
      </c>
      <c r="AO32" s="65" t="s">
        <v>137</v>
      </c>
      <c r="AP32" s="65" t="s">
        <v>149</v>
      </c>
      <c r="AQ32" s="66">
        <f t="shared" si="5"/>
        <v>1</v>
      </c>
      <c r="AR32" s="66">
        <f t="shared" si="6"/>
        <v>0</v>
      </c>
      <c r="AS32" s="66">
        <f t="shared" si="7"/>
        <v>0</v>
      </c>
      <c r="AT32" s="66">
        <f t="shared" si="8"/>
        <v>0</v>
      </c>
      <c r="AU32" s="66">
        <f t="shared" si="9"/>
        <v>0</v>
      </c>
      <c r="AV32" s="66">
        <f t="shared" si="10"/>
        <v>0</v>
      </c>
      <c r="AW32" s="66">
        <f t="shared" si="11"/>
        <v>0</v>
      </c>
      <c r="AX32" s="66">
        <f t="shared" si="12"/>
        <v>9</v>
      </c>
    </row>
    <row r="33" spans="1:50" ht="16.5" customHeight="1" x14ac:dyDescent="0.35">
      <c r="A33" s="18">
        <v>26</v>
      </c>
      <c r="B33" s="30" t="s">
        <v>279</v>
      </c>
      <c r="C33" s="61" t="str">
        <f>IF($B33="","",IFERROR(INDEX(الموظفون!$C$6:$C$45,MATCH($B33,الموظفون!$B$6:$B$45,0)),""))</f>
        <v>منال المطيري</v>
      </c>
      <c r="D33" s="62" t="str">
        <f>IF($B33="","",IFERROR(INDEX(الموظفون!$D$6:$D$45,MATCH($B33,الموظفون!$B$6:$B$45,0)),""))</f>
        <v>الإدارة</v>
      </c>
      <c r="E33" s="51">
        <f t="shared" si="0"/>
        <v>22</v>
      </c>
      <c r="F33" s="46">
        <f t="shared" si="1"/>
        <v>18</v>
      </c>
      <c r="G33" s="51">
        <f t="shared" si="2"/>
        <v>4</v>
      </c>
      <c r="H33" s="51">
        <f t="shared" si="3"/>
        <v>0</v>
      </c>
      <c r="I33" s="63">
        <f t="shared" si="4"/>
        <v>0.81818181818181823</v>
      </c>
      <c r="J33" s="64">
        <f>IF($B33="","",SUMIFS(التوقيت!$G$6:$G$405,التوقيت!$B$6:$B$405,$B33))</f>
        <v>102</v>
      </c>
      <c r="K33" s="46">
        <f>IF($B33="","",SUMIFS(التوقيت!$I$6:$I$405,التوقيت!$B$6:$B$405,$B33))</f>
        <v>1.17</v>
      </c>
      <c r="L33" s="65" t="s">
        <v>169</v>
      </c>
      <c r="M33" s="65" t="s">
        <v>137</v>
      </c>
      <c r="N33" s="65" t="s">
        <v>137</v>
      </c>
      <c r="O33" s="65" t="s">
        <v>137</v>
      </c>
      <c r="P33" s="65" t="s">
        <v>137</v>
      </c>
      <c r="Q33" s="65" t="s">
        <v>137</v>
      </c>
      <c r="R33" s="65" t="s">
        <v>169</v>
      </c>
      <c r="S33" s="65" t="s">
        <v>169</v>
      </c>
      <c r="T33" s="65" t="s">
        <v>137</v>
      </c>
      <c r="U33" s="65" t="s">
        <v>137</v>
      </c>
      <c r="V33" s="65" t="s">
        <v>137</v>
      </c>
      <c r="W33" s="65" t="s">
        <v>137</v>
      </c>
      <c r="X33" s="65" t="s">
        <v>137</v>
      </c>
      <c r="Y33" s="65" t="s">
        <v>169</v>
      </c>
      <c r="Z33" s="65" t="s">
        <v>169</v>
      </c>
      <c r="AA33" s="65" t="s">
        <v>137</v>
      </c>
      <c r="AB33" s="65" t="s">
        <v>145</v>
      </c>
      <c r="AC33" s="65" t="s">
        <v>145</v>
      </c>
      <c r="AD33" s="65" t="s">
        <v>145</v>
      </c>
      <c r="AE33" s="65" t="s">
        <v>145</v>
      </c>
      <c r="AF33" s="65" t="s">
        <v>169</v>
      </c>
      <c r="AG33" s="65" t="s">
        <v>169</v>
      </c>
      <c r="AH33" s="65" t="s">
        <v>137</v>
      </c>
      <c r="AI33" s="65" t="s">
        <v>137</v>
      </c>
      <c r="AJ33" s="65" t="s">
        <v>137</v>
      </c>
      <c r="AK33" s="65" t="s">
        <v>137</v>
      </c>
      <c r="AL33" s="65" t="s">
        <v>137</v>
      </c>
      <c r="AM33" s="65" t="s">
        <v>169</v>
      </c>
      <c r="AN33" s="65" t="s">
        <v>169</v>
      </c>
      <c r="AO33" s="65" t="s">
        <v>137</v>
      </c>
      <c r="AP33" s="65" t="s">
        <v>137</v>
      </c>
      <c r="AQ33" s="66">
        <f t="shared" si="5"/>
        <v>0</v>
      </c>
      <c r="AR33" s="66">
        <f t="shared" si="6"/>
        <v>0</v>
      </c>
      <c r="AS33" s="66">
        <f t="shared" si="7"/>
        <v>0</v>
      </c>
      <c r="AT33" s="66">
        <f t="shared" si="8"/>
        <v>0</v>
      </c>
      <c r="AU33" s="66">
        <f t="shared" si="9"/>
        <v>0</v>
      </c>
      <c r="AV33" s="66">
        <f t="shared" si="10"/>
        <v>0</v>
      </c>
      <c r="AW33" s="66">
        <f t="shared" si="11"/>
        <v>0</v>
      </c>
      <c r="AX33" s="66">
        <f t="shared" si="12"/>
        <v>9</v>
      </c>
    </row>
    <row r="34" spans="1:50" ht="16.5" customHeight="1" x14ac:dyDescent="0.35">
      <c r="A34" s="18">
        <v>27</v>
      </c>
      <c r="B34" s="30" t="s">
        <v>280</v>
      </c>
      <c r="C34" s="61" t="str">
        <f>IF($B34="","",IFERROR(INDEX(الموظفون!$C$6:$C$45,MATCH($B34,الموظفون!$B$6:$B$45,0)),""))</f>
        <v>أميرة زكي الحسيني</v>
      </c>
      <c r="D34" s="62" t="str">
        <f>IF($B34="","",IFERROR(INDEX(الموظفون!$D$6:$D$45,MATCH($B34,الموظفون!$B$6:$B$45,0)),""))</f>
        <v>الإدارة</v>
      </c>
      <c r="E34" s="51">
        <f t="shared" si="0"/>
        <v>22</v>
      </c>
      <c r="F34" s="46">
        <f t="shared" si="1"/>
        <v>21</v>
      </c>
      <c r="G34" s="51">
        <f t="shared" si="2"/>
        <v>0</v>
      </c>
      <c r="H34" s="51">
        <f t="shared" si="3"/>
        <v>1</v>
      </c>
      <c r="I34" s="63">
        <f t="shared" si="4"/>
        <v>0.95454545454545459</v>
      </c>
      <c r="J34" s="64">
        <f>IF($B34="","",SUMIFS(التوقيت!$G$6:$G$405,التوقيت!$B$6:$B$405,$B34))</f>
        <v>5</v>
      </c>
      <c r="K34" s="46">
        <f>IF($B34="","",SUMIFS(التوقيت!$I$6:$I$405,التوقيت!$B$6:$B$405,$B34))</f>
        <v>0</v>
      </c>
      <c r="L34" s="65" t="s">
        <v>169</v>
      </c>
      <c r="M34" s="65" t="s">
        <v>137</v>
      </c>
      <c r="N34" s="65" t="s">
        <v>137</v>
      </c>
      <c r="O34" s="65" t="s">
        <v>137</v>
      </c>
      <c r="P34" s="65" t="s">
        <v>137</v>
      </c>
      <c r="Q34" s="65" t="s">
        <v>137</v>
      </c>
      <c r="R34" s="65" t="s">
        <v>169</v>
      </c>
      <c r="S34" s="65" t="s">
        <v>169</v>
      </c>
      <c r="T34" s="65" t="s">
        <v>137</v>
      </c>
      <c r="U34" s="65" t="s">
        <v>137</v>
      </c>
      <c r="V34" s="65" t="s">
        <v>137</v>
      </c>
      <c r="W34" s="65" t="s">
        <v>137</v>
      </c>
      <c r="X34" s="65" t="s">
        <v>137</v>
      </c>
      <c r="Y34" s="65" t="s">
        <v>169</v>
      </c>
      <c r="Z34" s="65" t="s">
        <v>169</v>
      </c>
      <c r="AA34" s="65" t="s">
        <v>137</v>
      </c>
      <c r="AB34" s="65" t="s">
        <v>149</v>
      </c>
      <c r="AC34" s="65" t="s">
        <v>137</v>
      </c>
      <c r="AD34" s="65" t="s">
        <v>137</v>
      </c>
      <c r="AE34" s="65" t="s">
        <v>137</v>
      </c>
      <c r="AF34" s="65" t="s">
        <v>169</v>
      </c>
      <c r="AG34" s="65" t="s">
        <v>169</v>
      </c>
      <c r="AH34" s="65" t="s">
        <v>137</v>
      </c>
      <c r="AI34" s="65" t="s">
        <v>137</v>
      </c>
      <c r="AJ34" s="65" t="s">
        <v>137</v>
      </c>
      <c r="AK34" s="65" t="s">
        <v>137</v>
      </c>
      <c r="AL34" s="65" t="s">
        <v>137</v>
      </c>
      <c r="AM34" s="65" t="s">
        <v>169</v>
      </c>
      <c r="AN34" s="65" t="s">
        <v>169</v>
      </c>
      <c r="AO34" s="65" t="s">
        <v>137</v>
      </c>
      <c r="AP34" s="65" t="s">
        <v>137</v>
      </c>
      <c r="AQ34" s="66">
        <f t="shared" si="5"/>
        <v>1</v>
      </c>
      <c r="AR34" s="66">
        <f t="shared" si="6"/>
        <v>0</v>
      </c>
      <c r="AS34" s="66">
        <f t="shared" si="7"/>
        <v>0</v>
      </c>
      <c r="AT34" s="66">
        <f t="shared" si="8"/>
        <v>0</v>
      </c>
      <c r="AU34" s="66">
        <f t="shared" si="9"/>
        <v>0</v>
      </c>
      <c r="AV34" s="66">
        <f t="shared" si="10"/>
        <v>0</v>
      </c>
      <c r="AW34" s="66">
        <f t="shared" si="11"/>
        <v>0</v>
      </c>
      <c r="AX34" s="66">
        <f t="shared" si="12"/>
        <v>9</v>
      </c>
    </row>
    <row r="35" spans="1:50" ht="16.5" customHeight="1" x14ac:dyDescent="0.35">
      <c r="A35" s="18">
        <v>28</v>
      </c>
      <c r="B35" s="30" t="s">
        <v>282</v>
      </c>
      <c r="C35" s="61" t="str">
        <f>IF($B35="","",IFERROR(INDEX(الموظفون!$C$6:$C$45,MATCH($B35,الموظفون!$B$6:$B$45,0)),""))</f>
        <v>دلال البلوي</v>
      </c>
      <c r="D35" s="62" t="str">
        <f>IF($B35="","",IFERROR(INDEX(الموظفون!$D$6:$D$45,MATCH($B35,الموظفون!$B$6:$B$45,0)),""))</f>
        <v>الإدارة</v>
      </c>
      <c r="E35" s="51">
        <f t="shared" si="0"/>
        <v>22</v>
      </c>
      <c r="F35" s="46">
        <f t="shared" si="1"/>
        <v>19.5</v>
      </c>
      <c r="G35" s="51">
        <f t="shared" si="2"/>
        <v>0</v>
      </c>
      <c r="H35" s="51">
        <f t="shared" si="3"/>
        <v>2</v>
      </c>
      <c r="I35" s="63">
        <f t="shared" si="4"/>
        <v>0.88636363636363635</v>
      </c>
      <c r="J35" s="64">
        <f>IF($B35="","",SUMIFS(التوقيت!$G$6:$G$405,التوقيت!$B$6:$B$405,$B35))</f>
        <v>879</v>
      </c>
      <c r="K35" s="46">
        <f>IF($B35="","",SUMIFS(التوقيت!$I$6:$I$405,التوقيت!$B$6:$B$405,$B35))</f>
        <v>4.53</v>
      </c>
      <c r="L35" s="65" t="s">
        <v>169</v>
      </c>
      <c r="M35" s="65" t="s">
        <v>137</v>
      </c>
      <c r="N35" s="65" t="s">
        <v>137</v>
      </c>
      <c r="O35" s="65" t="s">
        <v>137</v>
      </c>
      <c r="P35" s="65" t="s">
        <v>137</v>
      </c>
      <c r="Q35" s="65" t="s">
        <v>137</v>
      </c>
      <c r="R35" s="65" t="s">
        <v>169</v>
      </c>
      <c r="S35" s="65" t="s">
        <v>169</v>
      </c>
      <c r="T35" s="65" t="s">
        <v>137</v>
      </c>
      <c r="U35" s="65" t="s">
        <v>137</v>
      </c>
      <c r="V35" s="65" t="s">
        <v>137</v>
      </c>
      <c r="W35" s="65" t="s">
        <v>137</v>
      </c>
      <c r="X35" s="65" t="s">
        <v>137</v>
      </c>
      <c r="Y35" s="65" t="s">
        <v>169</v>
      </c>
      <c r="Z35" s="65" t="s">
        <v>169</v>
      </c>
      <c r="AA35" s="65" t="s">
        <v>137</v>
      </c>
      <c r="AB35" s="65" t="s">
        <v>137</v>
      </c>
      <c r="AC35" s="65" t="s">
        <v>142</v>
      </c>
      <c r="AD35" s="65" t="s">
        <v>156</v>
      </c>
      <c r="AE35" s="65" t="s">
        <v>137</v>
      </c>
      <c r="AF35" s="65" t="s">
        <v>169</v>
      </c>
      <c r="AG35" s="65" t="s">
        <v>169</v>
      </c>
      <c r="AH35" s="65" t="s">
        <v>137</v>
      </c>
      <c r="AI35" s="65" t="s">
        <v>149</v>
      </c>
      <c r="AJ35" s="65" t="s">
        <v>137</v>
      </c>
      <c r="AK35" s="65" t="s">
        <v>137</v>
      </c>
      <c r="AL35" s="65" t="s">
        <v>137</v>
      </c>
      <c r="AM35" s="65" t="s">
        <v>169</v>
      </c>
      <c r="AN35" s="65" t="s">
        <v>169</v>
      </c>
      <c r="AO35" s="65" t="s">
        <v>137</v>
      </c>
      <c r="AP35" s="65" t="s">
        <v>137</v>
      </c>
      <c r="AQ35" s="66">
        <f t="shared" si="5"/>
        <v>1</v>
      </c>
      <c r="AR35" s="66">
        <f t="shared" si="6"/>
        <v>0</v>
      </c>
      <c r="AS35" s="66">
        <f t="shared" si="7"/>
        <v>1</v>
      </c>
      <c r="AT35" s="66">
        <f t="shared" si="8"/>
        <v>0</v>
      </c>
      <c r="AU35" s="66">
        <f t="shared" si="9"/>
        <v>0</v>
      </c>
      <c r="AV35" s="66">
        <f t="shared" si="10"/>
        <v>0</v>
      </c>
      <c r="AW35" s="66">
        <f t="shared" si="11"/>
        <v>0</v>
      </c>
      <c r="AX35" s="66">
        <f t="shared" si="12"/>
        <v>9</v>
      </c>
    </row>
    <row r="36" spans="1:50" ht="16.5" customHeight="1" x14ac:dyDescent="0.35">
      <c r="A36" s="18">
        <v>29</v>
      </c>
      <c r="B36" s="30" t="s">
        <v>284</v>
      </c>
      <c r="C36" s="61" t="str">
        <f>IF($B36="","",IFERROR(INDEX(الموظفون!$C$6:$C$45,MATCH($B36,الموظفون!$B$6:$B$45,0)),""))</f>
        <v>نادية عبد الحميد</v>
      </c>
      <c r="D36" s="62" t="str">
        <f>IF($B36="","",IFERROR(INDEX(الموظفون!$D$6:$D$45,MATCH($B36,الموظفون!$B$6:$B$45,0)),""))</f>
        <v>الإدارة</v>
      </c>
      <c r="E36" s="51">
        <f t="shared" si="0"/>
        <v>22</v>
      </c>
      <c r="F36" s="46">
        <f t="shared" si="1"/>
        <v>19</v>
      </c>
      <c r="G36" s="51">
        <f t="shared" si="2"/>
        <v>1</v>
      </c>
      <c r="H36" s="51">
        <f t="shared" si="3"/>
        <v>1</v>
      </c>
      <c r="I36" s="63">
        <f t="shared" si="4"/>
        <v>0.86363636363636365</v>
      </c>
      <c r="J36" s="64">
        <f>IF($B36="","",SUMIFS(التوقيت!$G$6:$G$405,التوقيت!$B$6:$B$405,$B36))</f>
        <v>24</v>
      </c>
      <c r="K36" s="46">
        <f>IF($B36="","",SUMIFS(التوقيت!$I$6:$I$405,التوقيت!$B$6:$B$405,$B36))</f>
        <v>2</v>
      </c>
      <c r="L36" s="65" t="s">
        <v>169</v>
      </c>
      <c r="M36" s="65" t="s">
        <v>137</v>
      </c>
      <c r="N36" s="65" t="s">
        <v>137</v>
      </c>
      <c r="O36" s="65" t="s">
        <v>137</v>
      </c>
      <c r="P36" s="65" t="s">
        <v>137</v>
      </c>
      <c r="Q36" s="65" t="s">
        <v>145</v>
      </c>
      <c r="R36" s="65" t="s">
        <v>169</v>
      </c>
      <c r="S36" s="65" t="s">
        <v>169</v>
      </c>
      <c r="T36" s="65" t="s">
        <v>149</v>
      </c>
      <c r="U36" s="65" t="s">
        <v>137</v>
      </c>
      <c r="V36" s="65" t="s">
        <v>137</v>
      </c>
      <c r="W36" s="65" t="s">
        <v>137</v>
      </c>
      <c r="X36" s="65" t="s">
        <v>137</v>
      </c>
      <c r="Y36" s="65" t="s">
        <v>169</v>
      </c>
      <c r="Z36" s="65" t="s">
        <v>169</v>
      </c>
      <c r="AA36" s="65" t="s">
        <v>137</v>
      </c>
      <c r="AB36" s="65" t="s">
        <v>137</v>
      </c>
      <c r="AC36" s="65" t="s">
        <v>137</v>
      </c>
      <c r="AD36" s="65" t="s">
        <v>137</v>
      </c>
      <c r="AE36" s="65" t="s">
        <v>142</v>
      </c>
      <c r="AF36" s="65" t="s">
        <v>169</v>
      </c>
      <c r="AG36" s="65" t="s">
        <v>169</v>
      </c>
      <c r="AH36" s="65" t="s">
        <v>137</v>
      </c>
      <c r="AI36" s="65" t="s">
        <v>137</v>
      </c>
      <c r="AJ36" s="65" t="s">
        <v>137</v>
      </c>
      <c r="AK36" s="65" t="s">
        <v>172</v>
      </c>
      <c r="AL36" s="65" t="s">
        <v>137</v>
      </c>
      <c r="AM36" s="65" t="s">
        <v>169</v>
      </c>
      <c r="AN36" s="65" t="s">
        <v>169</v>
      </c>
      <c r="AO36" s="65" t="s">
        <v>137</v>
      </c>
      <c r="AP36" s="65" t="s">
        <v>142</v>
      </c>
      <c r="AQ36" s="66">
        <f t="shared" si="5"/>
        <v>1</v>
      </c>
      <c r="AR36" s="66">
        <f t="shared" si="6"/>
        <v>0</v>
      </c>
      <c r="AS36" s="66">
        <f t="shared" si="7"/>
        <v>0</v>
      </c>
      <c r="AT36" s="66">
        <f t="shared" si="8"/>
        <v>0</v>
      </c>
      <c r="AU36" s="66">
        <f t="shared" si="9"/>
        <v>0</v>
      </c>
      <c r="AV36" s="66">
        <f t="shared" si="10"/>
        <v>0</v>
      </c>
      <c r="AW36" s="66">
        <f t="shared" si="11"/>
        <v>0</v>
      </c>
      <c r="AX36" s="66">
        <f t="shared" si="12"/>
        <v>9</v>
      </c>
    </row>
    <row r="37" spans="1:50" ht="16.5" customHeight="1" x14ac:dyDescent="0.35">
      <c r="A37" s="18">
        <v>30</v>
      </c>
      <c r="B37" s="30" t="s">
        <v>286</v>
      </c>
      <c r="C37" s="61" t="str">
        <f>IF($B37="","",IFERROR(INDEX(الموظفون!$C$6:$C$45,MATCH($B37,الموظفون!$B$6:$B$45,0)),""))</f>
        <v>مي الفهد</v>
      </c>
      <c r="D37" s="62" t="str">
        <f>IF($B37="","",IFERROR(INDEX(الموظفون!$D$6:$D$45,MATCH($B37,الموظفون!$B$6:$B$45,0)),""))</f>
        <v>الإدارة</v>
      </c>
      <c r="E37" s="51">
        <f t="shared" si="0"/>
        <v>22</v>
      </c>
      <c r="F37" s="46">
        <f t="shared" si="1"/>
        <v>21</v>
      </c>
      <c r="G37" s="51">
        <f t="shared" si="2"/>
        <v>0</v>
      </c>
      <c r="H37" s="51">
        <f t="shared" si="3"/>
        <v>1</v>
      </c>
      <c r="I37" s="63">
        <f t="shared" si="4"/>
        <v>0.95454545454545459</v>
      </c>
      <c r="J37" s="64">
        <f>IF($B37="","",SUMIFS(التوقيت!$G$6:$G$405,التوقيت!$B$6:$B$405,$B37))</f>
        <v>29</v>
      </c>
      <c r="K37" s="46">
        <f>IF($B37="","",SUMIFS(التوقيت!$I$6:$I$405,التوقيت!$B$6:$B$405,$B37))</f>
        <v>1.6</v>
      </c>
      <c r="L37" s="65" t="s">
        <v>169</v>
      </c>
      <c r="M37" s="65" t="s">
        <v>137</v>
      </c>
      <c r="N37" s="65" t="s">
        <v>137</v>
      </c>
      <c r="O37" s="65" t="s">
        <v>137</v>
      </c>
      <c r="P37" s="65" t="s">
        <v>137</v>
      </c>
      <c r="Q37" s="65" t="s">
        <v>137</v>
      </c>
      <c r="R37" s="65" t="s">
        <v>169</v>
      </c>
      <c r="S37" s="65" t="s">
        <v>169</v>
      </c>
      <c r="T37" s="65" t="s">
        <v>137</v>
      </c>
      <c r="U37" s="65" t="s">
        <v>137</v>
      </c>
      <c r="V37" s="65" t="s">
        <v>137</v>
      </c>
      <c r="W37" s="65" t="s">
        <v>137</v>
      </c>
      <c r="X37" s="65" t="s">
        <v>137</v>
      </c>
      <c r="Y37" s="65" t="s">
        <v>169</v>
      </c>
      <c r="Z37" s="65" t="s">
        <v>169</v>
      </c>
      <c r="AA37" s="65" t="s">
        <v>137</v>
      </c>
      <c r="AB37" s="65" t="s">
        <v>137</v>
      </c>
      <c r="AC37" s="65" t="s">
        <v>137</v>
      </c>
      <c r="AD37" s="65" t="s">
        <v>137</v>
      </c>
      <c r="AE37" s="65" t="s">
        <v>137</v>
      </c>
      <c r="AF37" s="65" t="s">
        <v>169</v>
      </c>
      <c r="AG37" s="65" t="s">
        <v>169</v>
      </c>
      <c r="AH37" s="65" t="s">
        <v>137</v>
      </c>
      <c r="AI37" s="65" t="s">
        <v>137</v>
      </c>
      <c r="AJ37" s="65" t="s">
        <v>149</v>
      </c>
      <c r="AK37" s="65" t="s">
        <v>137</v>
      </c>
      <c r="AL37" s="65" t="s">
        <v>137</v>
      </c>
      <c r="AM37" s="65" t="s">
        <v>169</v>
      </c>
      <c r="AN37" s="65" t="s">
        <v>169</v>
      </c>
      <c r="AO37" s="65" t="s">
        <v>137</v>
      </c>
      <c r="AP37" s="65" t="s">
        <v>137</v>
      </c>
      <c r="AQ37" s="66">
        <f t="shared" si="5"/>
        <v>1</v>
      </c>
      <c r="AR37" s="66">
        <f t="shared" si="6"/>
        <v>0</v>
      </c>
      <c r="AS37" s="66">
        <f t="shared" si="7"/>
        <v>0</v>
      </c>
      <c r="AT37" s="66">
        <f t="shared" si="8"/>
        <v>0</v>
      </c>
      <c r="AU37" s="66">
        <f t="shared" si="9"/>
        <v>0</v>
      </c>
      <c r="AV37" s="66">
        <f t="shared" si="10"/>
        <v>0</v>
      </c>
      <c r="AW37" s="66">
        <f t="shared" si="11"/>
        <v>0</v>
      </c>
      <c r="AX37" s="66">
        <f t="shared" si="12"/>
        <v>9</v>
      </c>
    </row>
    <row r="38" spans="1:50" ht="16.5" customHeight="1" x14ac:dyDescent="0.35">
      <c r="A38" s="18"/>
      <c r="B38" s="30"/>
      <c r="C38" s="61" t="str">
        <f>IF($B38="","",IFERROR(INDEX(الموظفون!$C$6:$C$45,MATCH($B38,الموظفون!$B$6:$B$45,0)),""))</f>
        <v/>
      </c>
      <c r="D38" s="62" t="str">
        <f>IF($B38="","",IFERROR(INDEX(الموظفون!$D$6:$D$45,MATCH($B38,الموظفون!$B$6:$B$45,0)),""))</f>
        <v/>
      </c>
      <c r="E38" s="51" t="str">
        <f t="shared" si="0"/>
        <v/>
      </c>
      <c r="F38" s="46" t="str">
        <f t="shared" si="1"/>
        <v/>
      </c>
      <c r="G38" s="51" t="str">
        <f t="shared" si="2"/>
        <v/>
      </c>
      <c r="H38" s="51" t="str">
        <f t="shared" si="3"/>
        <v/>
      </c>
      <c r="I38" s="63" t="str">
        <f t="shared" si="4"/>
        <v/>
      </c>
      <c r="J38" s="64" t="str">
        <f>IF($B38="","",SUMIFS(التوقيت!$G$6:$G$405,التوقيت!$B$6:$B$405,$B38))</f>
        <v/>
      </c>
      <c r="K38" s="46" t="str">
        <f>IF($B38="","",SUMIFS(التوقيت!$I$6:$I$405,التوقيت!$B$6:$B$405,$B38))</f>
        <v/>
      </c>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6" t="str">
        <f t="shared" si="5"/>
        <v/>
      </c>
      <c r="AR38" s="66" t="str">
        <f t="shared" si="6"/>
        <v/>
      </c>
      <c r="AS38" s="66" t="str">
        <f t="shared" si="7"/>
        <v/>
      </c>
      <c r="AT38" s="66" t="str">
        <f t="shared" si="8"/>
        <v/>
      </c>
      <c r="AU38" s="66" t="str">
        <f t="shared" si="9"/>
        <v/>
      </c>
      <c r="AV38" s="66" t="str">
        <f t="shared" si="10"/>
        <v/>
      </c>
      <c r="AW38" s="66" t="str">
        <f t="shared" si="11"/>
        <v/>
      </c>
      <c r="AX38" s="66" t="str">
        <f t="shared" si="12"/>
        <v/>
      </c>
    </row>
    <row r="39" spans="1:50" ht="16.5" customHeight="1" x14ac:dyDescent="0.35">
      <c r="A39" s="18"/>
      <c r="B39" s="30"/>
      <c r="C39" s="61" t="str">
        <f>IF($B39="","",IFERROR(INDEX(الموظفون!$C$6:$C$45,MATCH($B39,الموظفون!$B$6:$B$45,0)),""))</f>
        <v/>
      </c>
      <c r="D39" s="62" t="str">
        <f>IF($B39="","",IFERROR(INDEX(الموظفون!$D$6:$D$45,MATCH($B39,الموظفون!$B$6:$B$45,0)),""))</f>
        <v/>
      </c>
      <c r="E39" s="51" t="str">
        <f t="shared" si="0"/>
        <v/>
      </c>
      <c r="F39" s="46" t="str">
        <f t="shared" si="1"/>
        <v/>
      </c>
      <c r="G39" s="51" t="str">
        <f t="shared" si="2"/>
        <v/>
      </c>
      <c r="H39" s="51" t="str">
        <f t="shared" si="3"/>
        <v/>
      </c>
      <c r="I39" s="63" t="str">
        <f t="shared" si="4"/>
        <v/>
      </c>
      <c r="J39" s="64" t="str">
        <f>IF($B39="","",SUMIFS(التوقيت!$G$6:$G$405,التوقيت!$B$6:$B$405,$B39))</f>
        <v/>
      </c>
      <c r="K39" s="46" t="str">
        <f>IF($B39="","",SUMIFS(التوقيت!$I$6:$I$405,التوقيت!$B$6:$B$405,$B39))</f>
        <v/>
      </c>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6" t="str">
        <f t="shared" si="5"/>
        <v/>
      </c>
      <c r="AR39" s="66" t="str">
        <f t="shared" si="6"/>
        <v/>
      </c>
      <c r="AS39" s="66" t="str">
        <f t="shared" si="7"/>
        <v/>
      </c>
      <c r="AT39" s="66" t="str">
        <f t="shared" si="8"/>
        <v/>
      </c>
      <c r="AU39" s="66" t="str">
        <f t="shared" si="9"/>
        <v/>
      </c>
      <c r="AV39" s="66" t="str">
        <f t="shared" si="10"/>
        <v/>
      </c>
      <c r="AW39" s="66" t="str">
        <f t="shared" si="11"/>
        <v/>
      </c>
      <c r="AX39" s="66" t="str">
        <f t="shared" si="12"/>
        <v/>
      </c>
    </row>
    <row r="40" spans="1:50" ht="16.5" customHeight="1" x14ac:dyDescent="0.35">
      <c r="A40" s="18"/>
      <c r="B40" s="30"/>
      <c r="C40" s="61" t="str">
        <f>IF($B40="","",IFERROR(INDEX(الموظفون!$C$6:$C$45,MATCH($B40,الموظفون!$B$6:$B$45,0)),""))</f>
        <v/>
      </c>
      <c r="D40" s="62" t="str">
        <f>IF($B40="","",IFERROR(INDEX(الموظفون!$D$6:$D$45,MATCH($B40,الموظفون!$B$6:$B$45,0)),""))</f>
        <v/>
      </c>
      <c r="E40" s="51" t="str">
        <f t="shared" si="0"/>
        <v/>
      </c>
      <c r="F40" s="46" t="str">
        <f t="shared" si="1"/>
        <v/>
      </c>
      <c r="G40" s="51" t="str">
        <f t="shared" si="2"/>
        <v/>
      </c>
      <c r="H40" s="51" t="str">
        <f t="shared" si="3"/>
        <v/>
      </c>
      <c r="I40" s="63" t="str">
        <f t="shared" si="4"/>
        <v/>
      </c>
      <c r="J40" s="64" t="str">
        <f>IF($B40="","",SUMIFS(التوقيت!$G$6:$G$405,التوقيت!$B$6:$B$405,$B40))</f>
        <v/>
      </c>
      <c r="K40" s="46" t="str">
        <f>IF($B40="","",SUMIFS(التوقيت!$I$6:$I$405,التوقيت!$B$6:$B$405,$B40))</f>
        <v/>
      </c>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6" t="str">
        <f t="shared" si="5"/>
        <v/>
      </c>
      <c r="AR40" s="66" t="str">
        <f t="shared" si="6"/>
        <v/>
      </c>
      <c r="AS40" s="66" t="str">
        <f t="shared" si="7"/>
        <v/>
      </c>
      <c r="AT40" s="66" t="str">
        <f t="shared" si="8"/>
        <v/>
      </c>
      <c r="AU40" s="66" t="str">
        <f t="shared" si="9"/>
        <v/>
      </c>
      <c r="AV40" s="66" t="str">
        <f t="shared" si="10"/>
        <v/>
      </c>
      <c r="AW40" s="66" t="str">
        <f t="shared" si="11"/>
        <v/>
      </c>
      <c r="AX40" s="66" t="str">
        <f t="shared" si="12"/>
        <v/>
      </c>
    </row>
    <row r="41" spans="1:50" ht="16.5" customHeight="1" x14ac:dyDescent="0.35">
      <c r="A41" s="18"/>
      <c r="B41" s="30"/>
      <c r="C41" s="61" t="str">
        <f>IF($B41="","",IFERROR(INDEX(الموظفون!$C$6:$C$45,MATCH($B41,الموظفون!$B$6:$B$45,0)),""))</f>
        <v/>
      </c>
      <c r="D41" s="62" t="str">
        <f>IF($B41="","",IFERROR(INDEX(الموظفون!$D$6:$D$45,MATCH($B41,الموظفون!$B$6:$B$45,0)),""))</f>
        <v/>
      </c>
      <c r="E41" s="51" t="str">
        <f t="shared" si="0"/>
        <v/>
      </c>
      <c r="F41" s="46" t="str">
        <f t="shared" si="1"/>
        <v/>
      </c>
      <c r="G41" s="51" t="str">
        <f t="shared" si="2"/>
        <v/>
      </c>
      <c r="H41" s="51" t="str">
        <f t="shared" si="3"/>
        <v/>
      </c>
      <c r="I41" s="63" t="str">
        <f t="shared" si="4"/>
        <v/>
      </c>
      <c r="J41" s="64" t="str">
        <f>IF($B41="","",SUMIFS(التوقيت!$G$6:$G$405,التوقيت!$B$6:$B$405,$B41))</f>
        <v/>
      </c>
      <c r="K41" s="46" t="str">
        <f>IF($B41="","",SUMIFS(التوقيت!$I$6:$I$405,التوقيت!$B$6:$B$405,$B41))</f>
        <v/>
      </c>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6" t="str">
        <f t="shared" si="5"/>
        <v/>
      </c>
      <c r="AR41" s="66" t="str">
        <f t="shared" si="6"/>
        <v/>
      </c>
      <c r="AS41" s="66" t="str">
        <f t="shared" si="7"/>
        <v/>
      </c>
      <c r="AT41" s="66" t="str">
        <f t="shared" si="8"/>
        <v/>
      </c>
      <c r="AU41" s="66" t="str">
        <f t="shared" si="9"/>
        <v/>
      </c>
      <c r="AV41" s="66" t="str">
        <f t="shared" si="10"/>
        <v/>
      </c>
      <c r="AW41" s="66" t="str">
        <f t="shared" si="11"/>
        <v/>
      </c>
      <c r="AX41" s="66" t="str">
        <f t="shared" si="12"/>
        <v/>
      </c>
    </row>
    <row r="42" spans="1:50" ht="16.5" customHeight="1" x14ac:dyDescent="0.35">
      <c r="A42" s="18"/>
      <c r="B42" s="30"/>
      <c r="C42" s="61" t="str">
        <f>IF($B42="","",IFERROR(INDEX(الموظفون!$C$6:$C$45,MATCH($B42,الموظفون!$B$6:$B$45,0)),""))</f>
        <v/>
      </c>
      <c r="D42" s="62" t="str">
        <f>IF($B42="","",IFERROR(INDEX(الموظفون!$D$6:$D$45,MATCH($B42,الموظفون!$B$6:$B$45,0)),""))</f>
        <v/>
      </c>
      <c r="E42" s="51" t="str">
        <f t="shared" si="0"/>
        <v/>
      </c>
      <c r="F42" s="46" t="str">
        <f t="shared" si="1"/>
        <v/>
      </c>
      <c r="G42" s="51" t="str">
        <f t="shared" si="2"/>
        <v/>
      </c>
      <c r="H42" s="51" t="str">
        <f t="shared" si="3"/>
        <v/>
      </c>
      <c r="I42" s="63" t="str">
        <f t="shared" si="4"/>
        <v/>
      </c>
      <c r="J42" s="64" t="str">
        <f>IF($B42="","",SUMIFS(التوقيت!$G$6:$G$405,التوقيت!$B$6:$B$405,$B42))</f>
        <v/>
      </c>
      <c r="K42" s="46" t="str">
        <f>IF($B42="","",SUMIFS(التوقيت!$I$6:$I$405,التوقيت!$B$6:$B$405,$B42))</f>
        <v/>
      </c>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6" t="str">
        <f t="shared" si="5"/>
        <v/>
      </c>
      <c r="AR42" s="66" t="str">
        <f t="shared" si="6"/>
        <v/>
      </c>
      <c r="AS42" s="66" t="str">
        <f t="shared" si="7"/>
        <v/>
      </c>
      <c r="AT42" s="66" t="str">
        <f t="shared" si="8"/>
        <v/>
      </c>
      <c r="AU42" s="66" t="str">
        <f t="shared" si="9"/>
        <v/>
      </c>
      <c r="AV42" s="66" t="str">
        <f t="shared" si="10"/>
        <v/>
      </c>
      <c r="AW42" s="66" t="str">
        <f t="shared" si="11"/>
        <v/>
      </c>
      <c r="AX42" s="66" t="str">
        <f t="shared" si="12"/>
        <v/>
      </c>
    </row>
    <row r="43" spans="1:50" ht="16.5" customHeight="1" x14ac:dyDescent="0.35">
      <c r="A43" s="18"/>
      <c r="B43" s="30"/>
      <c r="C43" s="61" t="str">
        <f>IF($B43="","",IFERROR(INDEX(الموظفون!$C$6:$C$45,MATCH($B43,الموظفون!$B$6:$B$45,0)),""))</f>
        <v/>
      </c>
      <c r="D43" s="62" t="str">
        <f>IF($B43="","",IFERROR(INDEX(الموظفون!$D$6:$D$45,MATCH($B43,الموظفون!$B$6:$B$45,0)),""))</f>
        <v/>
      </c>
      <c r="E43" s="51" t="str">
        <f t="shared" si="0"/>
        <v/>
      </c>
      <c r="F43" s="46" t="str">
        <f t="shared" si="1"/>
        <v/>
      </c>
      <c r="G43" s="51" t="str">
        <f t="shared" si="2"/>
        <v/>
      </c>
      <c r="H43" s="51" t="str">
        <f t="shared" si="3"/>
        <v/>
      </c>
      <c r="I43" s="63" t="str">
        <f t="shared" si="4"/>
        <v/>
      </c>
      <c r="J43" s="64" t="str">
        <f>IF($B43="","",SUMIFS(التوقيت!$G$6:$G$405,التوقيت!$B$6:$B$405,$B43))</f>
        <v/>
      </c>
      <c r="K43" s="46" t="str">
        <f>IF($B43="","",SUMIFS(التوقيت!$I$6:$I$405,التوقيت!$B$6:$B$405,$B43))</f>
        <v/>
      </c>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6" t="str">
        <f t="shared" si="5"/>
        <v/>
      </c>
      <c r="AR43" s="66" t="str">
        <f t="shared" si="6"/>
        <v/>
      </c>
      <c r="AS43" s="66" t="str">
        <f t="shared" si="7"/>
        <v/>
      </c>
      <c r="AT43" s="66" t="str">
        <f t="shared" si="8"/>
        <v/>
      </c>
      <c r="AU43" s="66" t="str">
        <f t="shared" si="9"/>
        <v/>
      </c>
      <c r="AV43" s="66" t="str">
        <f t="shared" si="10"/>
        <v/>
      </c>
      <c r="AW43" s="66" t="str">
        <f t="shared" si="11"/>
        <v/>
      </c>
      <c r="AX43" s="66" t="str">
        <f t="shared" si="12"/>
        <v/>
      </c>
    </row>
    <row r="44" spans="1:50" ht="16.5" customHeight="1" x14ac:dyDescent="0.35">
      <c r="A44" s="18"/>
      <c r="B44" s="30"/>
      <c r="C44" s="61" t="str">
        <f>IF($B44="","",IFERROR(INDEX(الموظفون!$C$6:$C$45,MATCH($B44,الموظفون!$B$6:$B$45,0)),""))</f>
        <v/>
      </c>
      <c r="D44" s="62" t="str">
        <f>IF($B44="","",IFERROR(INDEX(الموظفون!$D$6:$D$45,MATCH($B44,الموظفون!$B$6:$B$45,0)),""))</f>
        <v/>
      </c>
      <c r="E44" s="51" t="str">
        <f t="shared" si="0"/>
        <v/>
      </c>
      <c r="F44" s="46" t="str">
        <f t="shared" si="1"/>
        <v/>
      </c>
      <c r="G44" s="51" t="str">
        <f t="shared" si="2"/>
        <v/>
      </c>
      <c r="H44" s="51" t="str">
        <f t="shared" si="3"/>
        <v/>
      </c>
      <c r="I44" s="63" t="str">
        <f t="shared" si="4"/>
        <v/>
      </c>
      <c r="J44" s="64" t="str">
        <f>IF($B44="","",SUMIFS(التوقيت!$G$6:$G$405,التوقيت!$B$6:$B$405,$B44))</f>
        <v/>
      </c>
      <c r="K44" s="46" t="str">
        <f>IF($B44="","",SUMIFS(التوقيت!$I$6:$I$405,التوقيت!$B$6:$B$405,$B44))</f>
        <v/>
      </c>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6" t="str">
        <f t="shared" si="5"/>
        <v/>
      </c>
      <c r="AR44" s="66" t="str">
        <f t="shared" si="6"/>
        <v/>
      </c>
      <c r="AS44" s="66" t="str">
        <f t="shared" si="7"/>
        <v/>
      </c>
      <c r="AT44" s="66" t="str">
        <f t="shared" si="8"/>
        <v/>
      </c>
      <c r="AU44" s="66" t="str">
        <f t="shared" si="9"/>
        <v/>
      </c>
      <c r="AV44" s="66" t="str">
        <f t="shared" si="10"/>
        <v/>
      </c>
      <c r="AW44" s="66" t="str">
        <f t="shared" si="11"/>
        <v/>
      </c>
      <c r="AX44" s="66" t="str">
        <f t="shared" si="12"/>
        <v/>
      </c>
    </row>
    <row r="45" spans="1:50" ht="16.5" customHeight="1" x14ac:dyDescent="0.35">
      <c r="A45" s="18"/>
      <c r="B45" s="30"/>
      <c r="C45" s="61" t="str">
        <f>IF($B45="","",IFERROR(INDEX(الموظفون!$C$6:$C$45,MATCH($B45,الموظفون!$B$6:$B$45,0)),""))</f>
        <v/>
      </c>
      <c r="D45" s="62" t="str">
        <f>IF($B45="","",IFERROR(INDEX(الموظفون!$D$6:$D$45,MATCH($B45,الموظفون!$B$6:$B$45,0)),""))</f>
        <v/>
      </c>
      <c r="E45" s="51" t="str">
        <f t="shared" si="0"/>
        <v/>
      </c>
      <c r="F45" s="46" t="str">
        <f t="shared" si="1"/>
        <v/>
      </c>
      <c r="G45" s="51" t="str">
        <f t="shared" si="2"/>
        <v/>
      </c>
      <c r="H45" s="51" t="str">
        <f t="shared" si="3"/>
        <v/>
      </c>
      <c r="I45" s="63" t="str">
        <f t="shared" si="4"/>
        <v/>
      </c>
      <c r="J45" s="64" t="str">
        <f>IF($B45="","",SUMIFS(التوقيت!$G$6:$G$405,التوقيت!$B$6:$B$405,$B45))</f>
        <v/>
      </c>
      <c r="K45" s="46" t="str">
        <f>IF($B45="","",SUMIFS(التوقيت!$I$6:$I$405,التوقيت!$B$6:$B$405,$B45))</f>
        <v/>
      </c>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6" t="str">
        <f t="shared" si="5"/>
        <v/>
      </c>
      <c r="AR45" s="66" t="str">
        <f t="shared" si="6"/>
        <v/>
      </c>
      <c r="AS45" s="66" t="str">
        <f t="shared" si="7"/>
        <v/>
      </c>
      <c r="AT45" s="66" t="str">
        <f t="shared" si="8"/>
        <v/>
      </c>
      <c r="AU45" s="66" t="str">
        <f t="shared" si="9"/>
        <v/>
      </c>
      <c r="AV45" s="66" t="str">
        <f t="shared" si="10"/>
        <v/>
      </c>
      <c r="AW45" s="66" t="str">
        <f t="shared" si="11"/>
        <v/>
      </c>
      <c r="AX45" s="66" t="str">
        <f t="shared" si="12"/>
        <v/>
      </c>
    </row>
    <row r="46" spans="1:50" ht="16.5" customHeight="1" x14ac:dyDescent="0.35">
      <c r="A46" s="18"/>
      <c r="B46" s="30"/>
      <c r="C46" s="61" t="str">
        <f>IF($B46="","",IFERROR(INDEX(الموظفون!$C$6:$C$45,MATCH($B46,الموظفون!$B$6:$B$45,0)),""))</f>
        <v/>
      </c>
      <c r="D46" s="62" t="str">
        <f>IF($B46="","",IFERROR(INDEX(الموظفون!$D$6:$D$45,MATCH($B46,الموظفون!$B$6:$B$45,0)),""))</f>
        <v/>
      </c>
      <c r="E46" s="51" t="str">
        <f t="shared" si="0"/>
        <v/>
      </c>
      <c r="F46" s="46" t="str">
        <f t="shared" si="1"/>
        <v/>
      </c>
      <c r="G46" s="51" t="str">
        <f t="shared" si="2"/>
        <v/>
      </c>
      <c r="H46" s="51" t="str">
        <f t="shared" si="3"/>
        <v/>
      </c>
      <c r="I46" s="63" t="str">
        <f t="shared" si="4"/>
        <v/>
      </c>
      <c r="J46" s="64" t="str">
        <f>IF($B46="","",SUMIFS(التوقيت!$G$6:$G$405,التوقيت!$B$6:$B$405,$B46))</f>
        <v/>
      </c>
      <c r="K46" s="46" t="str">
        <f>IF($B46="","",SUMIFS(التوقيت!$I$6:$I$405,التوقيت!$B$6:$B$405,$B46))</f>
        <v/>
      </c>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6" t="str">
        <f t="shared" si="5"/>
        <v/>
      </c>
      <c r="AR46" s="66" t="str">
        <f t="shared" si="6"/>
        <v/>
      </c>
      <c r="AS46" s="66" t="str">
        <f t="shared" si="7"/>
        <v/>
      </c>
      <c r="AT46" s="66" t="str">
        <f t="shared" si="8"/>
        <v/>
      </c>
      <c r="AU46" s="66" t="str">
        <f t="shared" si="9"/>
        <v/>
      </c>
      <c r="AV46" s="66" t="str">
        <f t="shared" si="10"/>
        <v/>
      </c>
      <c r="AW46" s="66" t="str">
        <f t="shared" si="11"/>
        <v/>
      </c>
      <c r="AX46" s="66" t="str">
        <f t="shared" si="12"/>
        <v/>
      </c>
    </row>
    <row r="47" spans="1:50" ht="16.5" customHeight="1" x14ac:dyDescent="0.35">
      <c r="A47" s="18"/>
      <c r="B47" s="30"/>
      <c r="C47" s="61" t="str">
        <f>IF($B47="","",IFERROR(INDEX(الموظفون!$C$6:$C$45,MATCH($B47,الموظفون!$B$6:$B$45,0)),""))</f>
        <v/>
      </c>
      <c r="D47" s="62" t="str">
        <f>IF($B47="","",IFERROR(INDEX(الموظفون!$D$6:$D$45,MATCH($B47,الموظفون!$B$6:$B$45,0)),""))</f>
        <v/>
      </c>
      <c r="E47" s="51" t="str">
        <f t="shared" si="0"/>
        <v/>
      </c>
      <c r="F47" s="46" t="str">
        <f t="shared" si="1"/>
        <v/>
      </c>
      <c r="G47" s="51" t="str">
        <f t="shared" si="2"/>
        <v/>
      </c>
      <c r="H47" s="51" t="str">
        <f t="shared" si="3"/>
        <v/>
      </c>
      <c r="I47" s="63" t="str">
        <f t="shared" si="4"/>
        <v/>
      </c>
      <c r="J47" s="64" t="str">
        <f>IF($B47="","",SUMIFS(التوقيت!$G$6:$G$405,التوقيت!$B$6:$B$405,$B47))</f>
        <v/>
      </c>
      <c r="K47" s="46" t="str">
        <f>IF($B47="","",SUMIFS(التوقيت!$I$6:$I$405,التوقيت!$B$6:$B$405,$B47))</f>
        <v/>
      </c>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6" t="str">
        <f t="shared" si="5"/>
        <v/>
      </c>
      <c r="AR47" s="66" t="str">
        <f t="shared" si="6"/>
        <v/>
      </c>
      <c r="AS47" s="66" t="str">
        <f t="shared" si="7"/>
        <v/>
      </c>
      <c r="AT47" s="66" t="str">
        <f t="shared" si="8"/>
        <v/>
      </c>
      <c r="AU47" s="66" t="str">
        <f t="shared" si="9"/>
        <v/>
      </c>
      <c r="AV47" s="66" t="str">
        <f t="shared" si="10"/>
        <v/>
      </c>
      <c r="AW47" s="66" t="str">
        <f t="shared" si="11"/>
        <v/>
      </c>
      <c r="AX47" s="66" t="str">
        <f t="shared" si="12"/>
        <v/>
      </c>
    </row>
    <row r="48" spans="1:50" ht="19.5" customHeight="1" x14ac:dyDescent="0.35">
      <c r="A48" s="2" t="s">
        <v>335</v>
      </c>
      <c r="B48" s="2"/>
      <c r="C48" s="2"/>
      <c r="D48" s="2"/>
      <c r="E48" s="54">
        <f>SUM(E8:E47)</f>
        <v>660</v>
      </c>
      <c r="F48" s="67">
        <f>SUM(F8:F47)</f>
        <v>576.5</v>
      </c>
      <c r="G48" s="54">
        <f>SUM(G8:G47)</f>
        <v>38</v>
      </c>
      <c r="H48" s="54">
        <f>SUM(H8:H47)</f>
        <v>41</v>
      </c>
      <c r="I48" s="68">
        <f>IFERROR(AVERAGE(I8:I47),0)</f>
        <v>0.8734848484848482</v>
      </c>
      <c r="J48" s="56">
        <f>SUM(J8:J47)</f>
        <v>3462</v>
      </c>
      <c r="K48" s="67">
        <f>SUM(K8:K47)</f>
        <v>34.210000000000008</v>
      </c>
      <c r="L48" s="69" t="str">
        <f t="shared" ref="L48:AP48" si="13">IF((COUNTIF(L8:L47,"P")+COUNTIF(L8:L47,"BT")+COUNTIF(L8:L47,"H")+COUNTIF(L8:L47,"A"))=0,"",(COUNTIF(L8:L47,"P")+COUNTIF(L8:L47,"BT")+0.5*COUNTIF(L8:L47,"H"))/(COUNTIF(L8:L47,"P")+COUNTIF(L8:L47,"BT")+COUNTIF(L8:L47,"H")+COUNTIF(L8:L47,"A")))</f>
        <v/>
      </c>
      <c r="M48" s="69">
        <f t="shared" si="13"/>
        <v>0.94827586206896552</v>
      </c>
      <c r="N48" s="69">
        <f t="shared" si="13"/>
        <v>0.89655172413793105</v>
      </c>
      <c r="O48" s="69">
        <f t="shared" si="13"/>
        <v>0.88888888888888884</v>
      </c>
      <c r="P48" s="69">
        <f t="shared" si="13"/>
        <v>0.96296296296296291</v>
      </c>
      <c r="Q48" s="69">
        <f t="shared" si="13"/>
        <v>0.93103448275862066</v>
      </c>
      <c r="R48" s="69" t="str">
        <f t="shared" si="13"/>
        <v/>
      </c>
      <c r="S48" s="69" t="str">
        <f t="shared" si="13"/>
        <v/>
      </c>
      <c r="T48" s="69">
        <f t="shared" si="13"/>
        <v>0.96153846153846156</v>
      </c>
      <c r="U48" s="69">
        <f t="shared" si="13"/>
        <v>0.82758620689655171</v>
      </c>
      <c r="V48" s="69">
        <f t="shared" si="13"/>
        <v>0.9285714285714286</v>
      </c>
      <c r="W48" s="69">
        <f t="shared" si="13"/>
        <v>0.9285714285714286</v>
      </c>
      <c r="X48" s="69">
        <f t="shared" si="13"/>
        <v>0.94827586206896552</v>
      </c>
      <c r="Y48" s="69" t="str">
        <f t="shared" si="13"/>
        <v/>
      </c>
      <c r="Z48" s="69" t="str">
        <f t="shared" si="13"/>
        <v/>
      </c>
      <c r="AA48" s="69">
        <f t="shared" si="13"/>
        <v>0.94827586206896552</v>
      </c>
      <c r="AB48" s="69">
        <f t="shared" si="13"/>
        <v>0.88888888888888884</v>
      </c>
      <c r="AC48" s="69">
        <f t="shared" si="13"/>
        <v>0.8928571428571429</v>
      </c>
      <c r="AD48" s="69">
        <f t="shared" si="13"/>
        <v>0.9107142857142857</v>
      </c>
      <c r="AE48" s="69">
        <f t="shared" si="13"/>
        <v>0.90740740740740744</v>
      </c>
      <c r="AF48" s="69" t="str">
        <f t="shared" si="13"/>
        <v/>
      </c>
      <c r="AG48" s="69" t="str">
        <f t="shared" si="13"/>
        <v/>
      </c>
      <c r="AH48" s="69">
        <f t="shared" si="13"/>
        <v>0.92592592592592593</v>
      </c>
      <c r="AI48" s="69">
        <f t="shared" si="13"/>
        <v>0.96296296296296291</v>
      </c>
      <c r="AJ48" s="69">
        <f t="shared" si="13"/>
        <v>0.96551724137931039</v>
      </c>
      <c r="AK48" s="69">
        <f t="shared" si="13"/>
        <v>0.98333333333333328</v>
      </c>
      <c r="AL48" s="69">
        <f t="shared" si="13"/>
        <v>0.9285714285714286</v>
      </c>
      <c r="AM48" s="69" t="str">
        <f t="shared" si="13"/>
        <v/>
      </c>
      <c r="AN48" s="69" t="str">
        <f t="shared" si="13"/>
        <v/>
      </c>
      <c r="AO48" s="69">
        <f t="shared" si="13"/>
        <v>1</v>
      </c>
      <c r="AP48" s="69">
        <f t="shared" si="13"/>
        <v>0.9464285714285714</v>
      </c>
      <c r="AQ48" s="70">
        <f t="shared" ref="AQ48:AX48" si="14">SUM(AQ8:AQ47)</f>
        <v>28</v>
      </c>
      <c r="AR48" s="70">
        <f t="shared" si="14"/>
        <v>0</v>
      </c>
      <c r="AS48" s="70">
        <f t="shared" si="14"/>
        <v>13</v>
      </c>
      <c r="AT48" s="70">
        <f t="shared" si="14"/>
        <v>0</v>
      </c>
      <c r="AU48" s="70">
        <f t="shared" si="14"/>
        <v>0</v>
      </c>
      <c r="AV48" s="70">
        <f t="shared" si="14"/>
        <v>0</v>
      </c>
      <c r="AW48" s="70">
        <f t="shared" si="14"/>
        <v>0</v>
      </c>
      <c r="AX48" s="70">
        <f t="shared" si="14"/>
        <v>270</v>
      </c>
    </row>
  </sheetData>
  <sheetProtection sheet="1" formatCells="0" formatColumns="0" formatRows="0" sort="0" autoFilter="0"/>
  <mergeCells count="23">
    <mergeCell ref="A7:K7"/>
    <mergeCell ref="A48:D48"/>
    <mergeCell ref="AT5:AT6"/>
    <mergeCell ref="AU5:AU6"/>
    <mergeCell ref="AV5:AV6"/>
    <mergeCell ref="AW5:AW6"/>
    <mergeCell ref="AX5:AX6"/>
    <mergeCell ref="A1:AX1"/>
    <mergeCell ref="A2:AX2"/>
    <mergeCell ref="A5:A6"/>
    <mergeCell ref="B5:B6"/>
    <mergeCell ref="C5:C6"/>
    <mergeCell ref="D5:D6"/>
    <mergeCell ref="E5:E6"/>
    <mergeCell ref="F5:F6"/>
    <mergeCell ref="G5:G6"/>
    <mergeCell ref="H5:H6"/>
    <mergeCell ref="I5:I6"/>
    <mergeCell ref="J5:J6"/>
    <mergeCell ref="K5:K6"/>
    <mergeCell ref="AQ5:AQ6"/>
    <mergeCell ref="AR5:AR6"/>
    <mergeCell ref="AS5:AS6"/>
  </mergeCells>
  <conditionalFormatting sqref="C8:D47">
    <cfRule type="expression" dxfId="32" priority="24">
      <formula>$I8&lt;0.9</formula>
    </cfRule>
  </conditionalFormatting>
  <conditionalFormatting sqref="G8:G47">
    <cfRule type="cellIs" dxfId="31" priority="25" operator="greaterThan">
      <formula>0</formula>
    </cfRule>
  </conditionalFormatting>
  <conditionalFormatting sqref="I8:I47">
    <cfRule type="dataBar" priority="23">
      <dataBar>
        <cfvo type="num" val="0"/>
        <cfvo type="num" val="1"/>
        <color rgb="FF1A2E5E"/>
      </dataBar>
      <extLst>
        <ext xmlns:x14="http://schemas.microsoft.com/office/spreadsheetml/2009/9/main" uri="{B025F937-C7B1-47D3-B67F-A62EFF666E3E}">
          <x14:id>{131EEBF9-5742-4119-90C4-8D15AED7D96B}</x14:id>
        </ext>
      </extLst>
    </cfRule>
  </conditionalFormatting>
  <conditionalFormatting sqref="L5:AP48">
    <cfRule type="expression" dxfId="30" priority="20">
      <formula>L$7="ر"</formula>
    </cfRule>
    <cfRule type="expression" dxfId="29" priority="21">
      <formula>L$7="ط"</formula>
    </cfRule>
    <cfRule type="expression" dxfId="28" priority="22">
      <formula>L$5=""</formula>
    </cfRule>
  </conditionalFormatting>
  <conditionalFormatting sqref="L8:AP47">
    <cfRule type="expression" dxfId="27" priority="2">
      <formula>L8="P"</formula>
    </cfRule>
    <cfRule type="expression" dxfId="26" priority="3">
      <formula>L8="H"</formula>
    </cfRule>
    <cfRule type="expression" dxfId="25" priority="4">
      <formula>L8="A"</formula>
    </cfRule>
    <cfRule type="expression" dxfId="24" priority="5">
      <formula>L8="AL"</formula>
    </cfRule>
    <cfRule type="expression" dxfId="23" priority="6">
      <formula>L8="UL"</formula>
    </cfRule>
    <cfRule type="expression" dxfId="22" priority="7">
      <formula>L8="S1"</formula>
    </cfRule>
    <cfRule type="expression" dxfId="21" priority="8">
      <formula>L8="S2"</formula>
    </cfRule>
    <cfRule type="expression" dxfId="20" priority="9">
      <formula>L8="S3"</formula>
    </cfRule>
    <cfRule type="expression" dxfId="19" priority="10">
      <formula>L8="PH"</formula>
    </cfRule>
    <cfRule type="expression" dxfId="18" priority="11">
      <formula>L8="W"</formula>
    </cfRule>
    <cfRule type="expression" dxfId="17" priority="12">
      <formula>L8="BT"</formula>
    </cfRule>
    <cfRule type="expression" dxfId="16" priority="13">
      <formula>L8="WI"</formula>
    </cfRule>
    <cfRule type="expression" dxfId="15" priority="14">
      <formula>L8="ML"</formula>
    </cfRule>
    <cfRule type="expression" dxfId="14" priority="15">
      <formula>L8="MR"</formula>
    </cfRule>
    <cfRule type="expression" dxfId="13" priority="16">
      <formula>L8="BR"</formula>
    </cfRule>
    <cfRule type="expression" dxfId="12" priority="17">
      <formula>L8="HJ"</formula>
    </cfRule>
    <cfRule type="expression" dxfId="11" priority="18">
      <formula>L8="EX"</formula>
    </cfRule>
    <cfRule type="expression" dxfId="10" priority="19">
      <formula>L8="ID"</formula>
    </cfRule>
  </conditionalFormatting>
  <conditionalFormatting sqref="L48:AP48">
    <cfRule type="colorScale" priority="26">
      <colorScale>
        <cfvo type="num" val="0.7"/>
        <cfvo type="num" val="0.85"/>
        <cfvo type="num" val="1"/>
        <color rgb="FFF8696B"/>
        <color rgb="FFFFEB84"/>
        <color rgb="FF63BE7B"/>
      </colorScale>
    </cfRule>
  </conditionalFormatting>
  <dataValidations count="1">
    <dataValidation type="list" allowBlank="1" showErrorMessage="1" errorTitle="رمز غير معرّف" error="أدخل رمزاً من ورقة «الرموز» فقط." sqref="L8:AP47" xr:uid="{00000000-0002-0000-0500-000000000000}">
      <formula1>"P,H,A,AL,UL,S1,S2,S3,PH,W,BT,WI,ML,MR,BR,HJ,EX,ID"</formula1>
      <formula2>0</formula2>
    </dataValidation>
  </dataValidations>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78C0D931-6437-407d-A8EE-F0AAD7539E65}">
      <x14:conditionalFormattings>
        <x14:conditionalFormatting xmlns:xm="http://schemas.microsoft.com/office/excel/2006/main">
          <x14:cfRule type="dataBar" id="{131EEBF9-5742-4119-90C4-8D15AED7D96B}">
            <x14:dataBar axisPosition="none">
              <x14:cfvo type="num">
                <xm:f>0</xm:f>
              </x14:cfvo>
              <x14:cfvo type="num">
                <xm:f>1</xm:f>
              </x14:cfvo>
              <x14:negativeFillColor rgb="FF1A2E5E"/>
            </x14:dataBar>
          </x14:cfRule>
          <xm:sqref>I8:I47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05"/>
  <sheetViews>
    <sheetView showGridLines="0" rightToLeft="1" zoomScaleNormal="100" workbookViewId="0">
      <pane xSplit="3" ySplit="5" topLeftCell="D9" activePane="bottomRight" state="frozen"/>
      <selection pane="topRight" activeCell="D1" sqref="D1"/>
      <selection pane="bottomLeft" activeCell="A6" sqref="A6"/>
      <selection pane="bottomRight" activeCell="O1" sqref="O1"/>
    </sheetView>
  </sheetViews>
  <sheetFormatPr defaultColWidth="8.6328125" defaultRowHeight="14.5" x14ac:dyDescent="0.35"/>
  <cols>
    <col min="1" max="1" width="13" customWidth="1"/>
    <col min="2" max="2" width="14" customWidth="1"/>
    <col min="3" max="3" width="24" customWidth="1"/>
    <col min="4" max="4" width="15" customWidth="1"/>
    <col min="5" max="5" width="12" customWidth="1"/>
    <col min="6" max="6" width="13" customWidth="1"/>
    <col min="7" max="7" width="12" customWidth="1"/>
    <col min="8" max="10" width="11" customWidth="1"/>
    <col min="11" max="11" width="16" customWidth="1"/>
    <col min="12" max="12" width="30" customWidth="1"/>
  </cols>
  <sheetData>
    <row r="1" spans="1:12" ht="30" customHeight="1" x14ac:dyDescent="0.35">
      <c r="A1" s="14" t="s">
        <v>336</v>
      </c>
      <c r="B1" s="14"/>
      <c r="C1" s="14"/>
      <c r="D1" s="14"/>
      <c r="E1" s="14"/>
      <c r="F1" s="14"/>
      <c r="G1" s="14"/>
      <c r="H1" s="14"/>
      <c r="I1" s="14"/>
      <c r="J1" s="14"/>
      <c r="K1" s="14"/>
      <c r="L1" s="14"/>
    </row>
    <row r="2" spans="1:12" ht="18" customHeight="1" x14ac:dyDescent="0.35">
      <c r="A2" s="13" t="s">
        <v>337</v>
      </c>
      <c r="B2" s="13"/>
      <c r="C2" s="13"/>
      <c r="D2" s="13"/>
      <c r="E2" s="13"/>
      <c r="F2" s="13"/>
      <c r="G2" s="13"/>
      <c r="H2" s="13"/>
      <c r="I2" s="13"/>
      <c r="J2" s="13"/>
      <c r="K2" s="13"/>
      <c r="L2" s="13"/>
    </row>
    <row r="3" spans="1:12" x14ac:dyDescent="0.35">
      <c r="A3" s="53" t="s">
        <v>338</v>
      </c>
      <c r="B3" s="56">
        <f>SUM(G6:G405)</f>
        <v>3462</v>
      </c>
      <c r="C3" s="53" t="s">
        <v>339</v>
      </c>
      <c r="D3" s="56">
        <f>COUNTIF(G6:G405,"&gt;0")</f>
        <v>124</v>
      </c>
      <c r="E3" s="53" t="s">
        <v>340</v>
      </c>
      <c r="F3" s="71">
        <f>SUM(I6:I405)</f>
        <v>34.21</v>
      </c>
    </row>
    <row r="5" spans="1:12" ht="30" customHeight="1" x14ac:dyDescent="0.35">
      <c r="A5" s="15" t="s">
        <v>297</v>
      </c>
      <c r="B5" s="15" t="s">
        <v>201</v>
      </c>
      <c r="C5" s="15" t="s">
        <v>202</v>
      </c>
      <c r="D5" s="15" t="s">
        <v>341</v>
      </c>
      <c r="E5" s="15" t="s">
        <v>342</v>
      </c>
      <c r="F5" s="15" t="s">
        <v>343</v>
      </c>
      <c r="G5" s="15" t="s">
        <v>326</v>
      </c>
      <c r="H5" s="15" t="s">
        <v>344</v>
      </c>
      <c r="I5" s="15" t="s">
        <v>327</v>
      </c>
      <c r="J5" s="15" t="s">
        <v>345</v>
      </c>
      <c r="K5" s="15" t="s">
        <v>346</v>
      </c>
      <c r="L5" s="15" t="s">
        <v>136</v>
      </c>
    </row>
    <row r="6" spans="1:12" ht="15.75" customHeight="1" x14ac:dyDescent="0.35">
      <c r="A6" s="31">
        <v>46236</v>
      </c>
      <c r="B6" s="30" t="s">
        <v>228</v>
      </c>
      <c r="C6" s="72" t="str">
        <f>IF($B6="","",IFERROR(INDEX(الموظفون!$C$6:$C$45,MATCH($B6,الموظفون!$B$6:$B$45,0)),""))</f>
        <v>يوسف إبراهيم فؤاد</v>
      </c>
      <c r="D6" s="73">
        <f>IF($B6="","",IFERROR(INDEX(الموظفون!$M$6:$M$45,MATCH($B6,الموظفون!$B$6:$B$45,0)),""))</f>
        <v>0.33333333333333298</v>
      </c>
      <c r="E6" s="49">
        <v>0.35069444444444398</v>
      </c>
      <c r="F6" s="49">
        <v>0.70833333333333304</v>
      </c>
      <c r="G6" s="74">
        <f t="shared" ref="G6:G69" si="0">IF(OR($B6="",$E6="",$D6=""),"",MAX(0,ROUND(($E6-$D6)*1440,0)))</f>
        <v>25</v>
      </c>
      <c r="H6" s="75">
        <f t="shared" ref="H6:H69" si="1">IF(OR($E6="",$F6=""),"",ROUND(($F6-$E6)*24,2))</f>
        <v>8.58</v>
      </c>
      <c r="I6" s="75">
        <f>IF($H6="","",MAX(0,ROUND($H6-الإعدادات!$C$24-الإعدادات!$C$27,2)))</f>
        <v>0</v>
      </c>
      <c r="J6" s="76">
        <f>IF(OR($B6="",$G6="",$G6&lt;=0),"",COUNTIFS($B$6:$B6,$B6,$G$6:$G6,"&gt;0"))</f>
        <v>1</v>
      </c>
      <c r="K6" s="75">
        <f>IF($J6="","",INDEX(الجزاءات!$E$6:$H$9,MATCH($G6,الجزاءات!$B$6:$B$9,1),MIN($J6,4)))</f>
        <v>0.1</v>
      </c>
      <c r="L6" s="45"/>
    </row>
    <row r="7" spans="1:12" ht="15.75" customHeight="1" x14ac:dyDescent="0.35">
      <c r="A7" s="31">
        <v>46236</v>
      </c>
      <c r="B7" s="30" t="s">
        <v>242</v>
      </c>
      <c r="C7" s="72" t="str">
        <f>IF($B7="","",IFERROR(INDEX(الموظفون!$C$6:$C$45,MATCH($B7,الموظفون!$B$6:$B$45,0)),""))</f>
        <v>ماجد الدوسري</v>
      </c>
      <c r="D7" s="73">
        <f>IF($B7="","",IFERROR(INDEX(الموظفون!$M$6:$M$45,MATCH($B7,الموظفون!$B$6:$B$45,0)),""))</f>
        <v>0.29166666666666702</v>
      </c>
      <c r="E7" s="49">
        <v>0.33680555555555602</v>
      </c>
      <c r="F7" s="49">
        <v>0.70833333333333304</v>
      </c>
      <c r="G7" s="74">
        <f t="shared" si="0"/>
        <v>65</v>
      </c>
      <c r="H7" s="75">
        <f t="shared" si="1"/>
        <v>8.92</v>
      </c>
      <c r="I7" s="75">
        <f>IF($H7="","",MAX(0,ROUND($H7-الإعدادات!$C$24-الإعدادات!$C$27,2)))</f>
        <v>0</v>
      </c>
      <c r="J7" s="76">
        <f>IF(OR($B7="",$G7="",$G7&lt;=0),"",COUNTIFS($B$6:$B7,$B7,$G$6:$G7,"&gt;0"))</f>
        <v>1</v>
      </c>
      <c r="K7" s="75">
        <f>IF($J7="","",INDEX(الجزاءات!$E$6:$H$9,MATCH($G7,الجزاءات!$B$6:$B$9,1),MIN($J7,4)))</f>
        <v>0</v>
      </c>
      <c r="L7" s="45"/>
    </row>
    <row r="8" spans="1:12" ht="15.75" customHeight="1" x14ac:dyDescent="0.35">
      <c r="A8" s="31">
        <v>46236</v>
      </c>
      <c r="B8" s="30" t="s">
        <v>238</v>
      </c>
      <c r="C8" s="72" t="str">
        <f>IF($B8="","",IFERROR(INDEX(الموظفون!$C$6:$C$45,MATCH($B8,الموظفون!$B$6:$B$45,0)),""))</f>
        <v>عمر شعبان النجار</v>
      </c>
      <c r="D8" s="73">
        <f>IF($B8="","",IFERROR(INDEX(الموظفون!$M$6:$M$45,MATCH($B8,الموظفون!$B$6:$B$45,0)),""))</f>
        <v>0.29166666666666702</v>
      </c>
      <c r="E8" s="49">
        <v>0.32638888888888901</v>
      </c>
      <c r="F8" s="49">
        <v>0.66666666666666696</v>
      </c>
      <c r="G8" s="74">
        <f t="shared" si="0"/>
        <v>50</v>
      </c>
      <c r="H8" s="75">
        <f t="shared" si="1"/>
        <v>8.17</v>
      </c>
      <c r="I8" s="75">
        <f>IF($H8="","",MAX(0,ROUND($H8-الإعدادات!$C$24-الإعدادات!$C$27,2)))</f>
        <v>0</v>
      </c>
      <c r="J8" s="76">
        <f>IF(OR($B8="",$G8="",$G8&lt;=0),"",COUNTIFS($B$6:$B8,$B8,$G$6:$G8,"&gt;0"))</f>
        <v>1</v>
      </c>
      <c r="K8" s="75">
        <f>IF($J8="","",INDEX(الجزاءات!$E$6:$H$9,MATCH($G8,الجزاءات!$B$6:$B$9,1),MIN($J8,4)))</f>
        <v>0.25</v>
      </c>
      <c r="L8" s="45"/>
    </row>
    <row r="9" spans="1:12" ht="15.75" customHeight="1" x14ac:dyDescent="0.35">
      <c r="A9" s="31">
        <v>46236</v>
      </c>
      <c r="B9" s="30" t="s">
        <v>247</v>
      </c>
      <c r="C9" s="72" t="str">
        <f>IF($B9="","",IFERROR(INDEX(الموظفون!$C$6:$C$45,MATCH($B9,الموظفون!$B$6:$B$45,0)),""))</f>
        <v>داليا فؤاد الشناوي</v>
      </c>
      <c r="D9" s="73">
        <f>IF($B9="","",IFERROR(INDEX(الموظفون!$M$6:$M$45,MATCH($B9,الموظفون!$B$6:$B$45,0)),""))</f>
        <v>0.29166666666666702</v>
      </c>
      <c r="E9" s="49">
        <v>0.29166666666666702</v>
      </c>
      <c r="F9" s="49">
        <v>0.66666666666666696</v>
      </c>
      <c r="G9" s="74">
        <f t="shared" si="0"/>
        <v>0</v>
      </c>
      <c r="H9" s="75">
        <f t="shared" si="1"/>
        <v>9</v>
      </c>
      <c r="I9" s="75">
        <f>IF($H9="","",MAX(0,ROUND($H9-الإعدادات!$C$24-الإعدادات!$C$27,2)))</f>
        <v>0</v>
      </c>
      <c r="J9" s="76" t="str">
        <f>IF(OR($B9="",$G9="",$G9&lt;=0),"",COUNTIFS($B$6:$B9,$B9,$G$6:$G9,"&gt;0"))</f>
        <v/>
      </c>
      <c r="K9" s="75" t="str">
        <f>IF($J9="","",INDEX(الجزاءات!$E$6:$H$9,MATCH($G9,الجزاءات!$B$6:$B$9,1),MIN($J9,4)))</f>
        <v/>
      </c>
      <c r="L9" s="45"/>
    </row>
    <row r="10" spans="1:12" ht="15.75" customHeight="1" x14ac:dyDescent="0.35">
      <c r="A10" s="31">
        <v>46236</v>
      </c>
      <c r="B10" s="30" t="s">
        <v>252</v>
      </c>
      <c r="C10" s="72" t="str">
        <f>IF($B10="","",IFERROR(INDEX(الموظفون!$C$6:$C$45,MATCH($B10,الموظفون!$B$6:$B$45,0)),""))</f>
        <v>سارة الشريف عبد الله</v>
      </c>
      <c r="D10" s="73">
        <f>IF($B10="","",IFERROR(INDEX(الموظفون!$M$6:$M$45,MATCH($B10,الموظفون!$B$6:$B$45,0)),""))</f>
        <v>0.33333333333333298</v>
      </c>
      <c r="E10" s="49">
        <v>0.34027777777777801</v>
      </c>
      <c r="F10" s="49">
        <v>0.70833333333333304</v>
      </c>
      <c r="G10" s="74">
        <f t="shared" si="0"/>
        <v>10</v>
      </c>
      <c r="H10" s="75">
        <f t="shared" si="1"/>
        <v>8.83</v>
      </c>
      <c r="I10" s="75">
        <f>IF($H10="","",MAX(0,ROUND($H10-الإعدادات!$C$24-الإعدادات!$C$27,2)))</f>
        <v>0</v>
      </c>
      <c r="J10" s="76">
        <f>IF(OR($B10="",$G10="",$G10&lt;=0),"",COUNTIFS($B$6:$B10,$B10,$G$6:$G10,"&gt;0"))</f>
        <v>1</v>
      </c>
      <c r="K10" s="75">
        <f>IF($J10="","",INDEX(الجزاءات!$E$6:$H$9,MATCH($G10,الجزاءات!$B$6:$B$9,1),MIN($J10,4)))</f>
        <v>0</v>
      </c>
      <c r="L10" s="45"/>
    </row>
    <row r="11" spans="1:12" ht="15.75" customHeight="1" x14ac:dyDescent="0.35">
      <c r="A11" s="31">
        <v>46236</v>
      </c>
      <c r="B11" s="30" t="s">
        <v>254</v>
      </c>
      <c r="C11" s="72" t="str">
        <f>IF($B11="","",IFERROR(INDEX(الموظفون!$C$6:$C$45,MATCH($B11,الموظفون!$B$6:$B$45,0)),""))</f>
        <v>ريم القحطاني</v>
      </c>
      <c r="D11" s="73">
        <f>IF($B11="","",IFERROR(INDEX(الموظفون!$M$6:$M$45,MATCH($B11,الموظفون!$B$6:$B$45,0)),""))</f>
        <v>0.33333333333333298</v>
      </c>
      <c r="E11" s="49">
        <v>0.33333333333333298</v>
      </c>
      <c r="F11" s="49">
        <v>0.70833333333333304</v>
      </c>
      <c r="G11" s="74">
        <f t="shared" si="0"/>
        <v>0</v>
      </c>
      <c r="H11" s="75">
        <f t="shared" si="1"/>
        <v>9</v>
      </c>
      <c r="I11" s="75">
        <f>IF($H11="","",MAX(0,ROUND($H11-الإعدادات!$C$24-الإعدادات!$C$27,2)))</f>
        <v>0</v>
      </c>
      <c r="J11" s="76" t="str">
        <f>IF(OR($B11="",$G11="",$G11&lt;=0),"",COUNTIFS($B$6:$B11,$B11,$G$6:$G11,"&gt;0"))</f>
        <v/>
      </c>
      <c r="K11" s="75" t="str">
        <f>IF($J11="","",INDEX(الجزاءات!$E$6:$H$9,MATCH($G11,الجزاءات!$B$6:$B$9,1),MIN($J11,4)))</f>
        <v/>
      </c>
      <c r="L11" s="45"/>
    </row>
    <row r="12" spans="1:12" ht="15.75" customHeight="1" x14ac:dyDescent="0.35">
      <c r="A12" s="31">
        <v>46236</v>
      </c>
      <c r="B12" s="30" t="s">
        <v>262</v>
      </c>
      <c r="C12" s="72" t="str">
        <f>IF($B12="","",IFERROR(INDEX(الموظفون!$C$6:$C$45,MATCH($B12,الموظفون!$B$6:$B$45,0)),""))</f>
        <v>رانيا الخولي</v>
      </c>
      <c r="D12" s="73">
        <f>IF($B12="","",IFERROR(INDEX(الموظفون!$M$6:$M$45,MATCH($B12,الموظفون!$B$6:$B$45,0)),""))</f>
        <v>0.33333333333333298</v>
      </c>
      <c r="E12" s="49">
        <v>0.34722222222222199</v>
      </c>
      <c r="F12" s="49">
        <v>0.79166666666666696</v>
      </c>
      <c r="G12" s="74">
        <f t="shared" si="0"/>
        <v>20</v>
      </c>
      <c r="H12" s="75">
        <f t="shared" si="1"/>
        <v>10.67</v>
      </c>
      <c r="I12" s="75">
        <f>IF($H12="","",MAX(0,ROUND($H12-الإعدادات!$C$24-الإعدادات!$C$27,2)))</f>
        <v>1.67</v>
      </c>
      <c r="J12" s="76">
        <f>IF(OR($B12="",$G12="",$G12&lt;=0),"",COUNTIFS($B$6:$B12,$B12,$G$6:$G12,"&gt;0"))</f>
        <v>1</v>
      </c>
      <c r="K12" s="75">
        <f>IF($J12="","",INDEX(الجزاءات!$E$6:$H$9,MATCH($G12,الجزاءات!$B$6:$B$9,1),MIN($J12,4)))</f>
        <v>0.1</v>
      </c>
      <c r="L12" s="45"/>
    </row>
    <row r="13" spans="1:12" ht="15.75" customHeight="1" x14ac:dyDescent="0.35">
      <c r="A13" s="31">
        <v>46236</v>
      </c>
      <c r="B13" s="30" t="s">
        <v>270</v>
      </c>
      <c r="C13" s="72" t="str">
        <f>IF($B13="","",IFERROR(INDEX(الموظفون!$C$6:$C$45,MATCH($B13,الموظفون!$B$6:$B$45,0)),""))</f>
        <v>تامر النجار</v>
      </c>
      <c r="D13" s="73">
        <f>IF($B13="","",IFERROR(INDEX(الموظفون!$M$6:$M$45,MATCH($B13,الموظفون!$B$6:$B$45,0)),""))</f>
        <v>0.33333333333333298</v>
      </c>
      <c r="E13" s="49">
        <v>0.33333333333333298</v>
      </c>
      <c r="F13" s="49">
        <v>0.70833333333333304</v>
      </c>
      <c r="G13" s="74">
        <f t="shared" si="0"/>
        <v>0</v>
      </c>
      <c r="H13" s="75">
        <f t="shared" si="1"/>
        <v>9</v>
      </c>
      <c r="I13" s="75">
        <f>IF($H13="","",MAX(0,ROUND($H13-الإعدادات!$C$24-الإعدادات!$C$27,2)))</f>
        <v>0</v>
      </c>
      <c r="J13" s="76" t="str">
        <f>IF(OR($B13="",$G13="",$G13&lt;=0),"",COUNTIFS($B$6:$B13,$B13,$G$6:$G13,"&gt;0"))</f>
        <v/>
      </c>
      <c r="K13" s="75" t="str">
        <f>IF($J13="","",INDEX(الجزاءات!$E$6:$H$9,MATCH($G13,الجزاءات!$B$6:$B$9,1),MIN($J13,4)))</f>
        <v/>
      </c>
      <c r="L13" s="45"/>
    </row>
    <row r="14" spans="1:12" ht="15.75" customHeight="1" x14ac:dyDescent="0.35">
      <c r="A14" s="31">
        <v>46236</v>
      </c>
      <c r="B14" s="30" t="s">
        <v>279</v>
      </c>
      <c r="C14" s="72" t="str">
        <f>IF($B14="","",IFERROR(INDEX(الموظفون!$C$6:$C$45,MATCH($B14,الموظفون!$B$6:$B$45,0)),""))</f>
        <v>منال المطيري</v>
      </c>
      <c r="D14" s="73">
        <f>IF($B14="","",IFERROR(INDEX(الموظفون!$M$6:$M$45,MATCH($B14,الموظفون!$B$6:$B$45,0)),""))</f>
        <v>0.35416666666666702</v>
      </c>
      <c r="E14" s="49">
        <v>0.35416666666666702</v>
      </c>
      <c r="F14" s="49">
        <v>0.72916666666666696</v>
      </c>
      <c r="G14" s="74">
        <f t="shared" si="0"/>
        <v>0</v>
      </c>
      <c r="H14" s="75">
        <f t="shared" si="1"/>
        <v>9</v>
      </c>
      <c r="I14" s="75">
        <f>IF($H14="","",MAX(0,ROUND($H14-الإعدادات!$C$24-الإعدادات!$C$27,2)))</f>
        <v>0</v>
      </c>
      <c r="J14" s="76" t="str">
        <f>IF(OR($B14="",$G14="",$G14&lt;=0),"",COUNTIFS($B$6:$B14,$B14,$G$6:$G14,"&gt;0"))</f>
        <v/>
      </c>
      <c r="K14" s="75" t="str">
        <f>IF($J14="","",INDEX(الجزاءات!$E$6:$H$9,MATCH($G14,الجزاءات!$B$6:$B$9,1),MIN($J14,4)))</f>
        <v/>
      </c>
      <c r="L14" s="45"/>
    </row>
    <row r="15" spans="1:12" ht="15.75" customHeight="1" x14ac:dyDescent="0.35">
      <c r="A15" s="31">
        <v>46236</v>
      </c>
      <c r="B15" s="30" t="s">
        <v>282</v>
      </c>
      <c r="C15" s="72" t="str">
        <f>IF($B15="","",IFERROR(INDEX(الموظفون!$C$6:$C$45,MATCH($B15,الموظفون!$B$6:$B$45,0)),""))</f>
        <v>دلال البلوي</v>
      </c>
      <c r="D15" s="73">
        <f>IF($B15="","",IFERROR(INDEX(الموظفون!$M$6:$M$45,MATCH($B15,الموظفون!$B$6:$B$45,0)),""))</f>
        <v>0.35416666666666702</v>
      </c>
      <c r="E15" s="49">
        <v>0.40972222222222199</v>
      </c>
      <c r="F15" s="49">
        <v>0.72916666666666696</v>
      </c>
      <c r="G15" s="74">
        <f t="shared" si="0"/>
        <v>80</v>
      </c>
      <c r="H15" s="75">
        <f t="shared" si="1"/>
        <v>7.67</v>
      </c>
      <c r="I15" s="75">
        <f>IF($H15="","",MAX(0,ROUND($H15-الإعدادات!$C$24-الإعدادات!$C$27,2)))</f>
        <v>0</v>
      </c>
      <c r="J15" s="76">
        <f>IF(OR($B15="",$G15="",$G15&lt;=0),"",COUNTIFS($B$6:$B15,$B15,$G$6:$G15,"&gt;0"))</f>
        <v>1</v>
      </c>
      <c r="K15" s="75">
        <f>IF($J15="","",INDEX(الجزاءات!$E$6:$H$9,MATCH($G15,الجزاءات!$B$6:$B$9,1),MIN($J15,4)))</f>
        <v>0</v>
      </c>
      <c r="L15" s="45"/>
    </row>
    <row r="16" spans="1:12" ht="15.75" customHeight="1" x14ac:dyDescent="0.35">
      <c r="A16" s="31">
        <v>46237</v>
      </c>
      <c r="B16" s="30" t="s">
        <v>226</v>
      </c>
      <c r="C16" s="72" t="str">
        <f>IF($B16="","",IFERROR(INDEX(الموظفون!$C$6:$C$45,MATCH($B16,الموظفون!$B$6:$B$45,0)),""))</f>
        <v>فيصل العتيبي</v>
      </c>
      <c r="D16" s="73">
        <f>IF($B16="","",IFERROR(INDEX(الموظفون!$M$6:$M$45,MATCH($B16,الموظفون!$B$6:$B$45,0)),""))</f>
        <v>0.33333333333333298</v>
      </c>
      <c r="E16" s="49">
        <v>0.33333333333333298</v>
      </c>
      <c r="F16" s="49">
        <v>0.70833333333333304</v>
      </c>
      <c r="G16" s="74">
        <f t="shared" si="0"/>
        <v>0</v>
      </c>
      <c r="H16" s="75">
        <f t="shared" si="1"/>
        <v>9</v>
      </c>
      <c r="I16" s="75">
        <f>IF($H16="","",MAX(0,ROUND($H16-الإعدادات!$C$24-الإعدادات!$C$27,2)))</f>
        <v>0</v>
      </c>
      <c r="J16" s="76" t="str">
        <f>IF(OR($B16="",$G16="",$G16&lt;=0),"",COUNTIFS($B$6:$B16,$B16,$G$6:$G16,"&gt;0"))</f>
        <v/>
      </c>
      <c r="K16" s="75" t="str">
        <f>IF($J16="","",INDEX(الجزاءات!$E$6:$H$9,MATCH($G16,الجزاءات!$B$6:$B$9,1),MIN($J16,4)))</f>
        <v/>
      </c>
      <c r="L16" s="45"/>
    </row>
    <row r="17" spans="1:12" ht="15.75" customHeight="1" x14ac:dyDescent="0.35">
      <c r="A17" s="31">
        <v>46237</v>
      </c>
      <c r="B17" s="30" t="s">
        <v>228</v>
      </c>
      <c r="C17" s="72" t="str">
        <f>IF($B17="","",IFERROR(INDEX(الموظفون!$C$6:$C$45,MATCH($B17,الموظفون!$B$6:$B$45,0)),""))</f>
        <v>يوسف إبراهيم فؤاد</v>
      </c>
      <c r="D17" s="73">
        <f>IF($B17="","",IFERROR(INDEX(الموظفون!$M$6:$M$45,MATCH($B17,الموظفون!$B$6:$B$45,0)),""))</f>
        <v>0.33333333333333298</v>
      </c>
      <c r="E17" s="49">
        <v>0.34583333333333299</v>
      </c>
      <c r="F17" s="49">
        <v>0.75</v>
      </c>
      <c r="G17" s="74">
        <f t="shared" si="0"/>
        <v>18</v>
      </c>
      <c r="H17" s="75">
        <f t="shared" si="1"/>
        <v>9.6999999999999993</v>
      </c>
      <c r="I17" s="75">
        <f>IF($H17="","",MAX(0,ROUND($H17-الإعدادات!$C$24-الإعدادات!$C$27,2)))</f>
        <v>0.7</v>
      </c>
      <c r="J17" s="76">
        <f>IF(OR($B17="",$G17="",$G17&lt;=0),"",COUNTIFS($B$6:$B17,$B17,$G$6:$G17,"&gt;0"))</f>
        <v>2</v>
      </c>
      <c r="K17" s="75">
        <f>IF($J17="","",INDEX(الجزاءات!$E$6:$H$9,MATCH($G17,الجزاءات!$B$6:$B$9,1),MIN($J17,4)))</f>
        <v>0.15</v>
      </c>
      <c r="L17" s="45"/>
    </row>
    <row r="18" spans="1:12" ht="15.75" customHeight="1" x14ac:dyDescent="0.35">
      <c r="A18" s="31">
        <v>46237</v>
      </c>
      <c r="B18" s="30" t="s">
        <v>232</v>
      </c>
      <c r="C18" s="72" t="str">
        <f>IF($B18="","",IFERROR(INDEX(الموظفون!$C$6:$C$45,MATCH($B18,الموظفون!$B$6:$B$45,0)),""))</f>
        <v>سلطان الحربي</v>
      </c>
      <c r="D18" s="73">
        <f>IF($B18="","",IFERROR(INDEX(الموظفون!$M$6:$M$45,MATCH($B18,الموظفون!$B$6:$B$45,0)),""))</f>
        <v>0.33333333333333298</v>
      </c>
      <c r="E18" s="49">
        <v>0.33333333333333298</v>
      </c>
      <c r="F18" s="49">
        <v>0.70833333333333304</v>
      </c>
      <c r="G18" s="74">
        <f t="shared" si="0"/>
        <v>0</v>
      </c>
      <c r="H18" s="75">
        <f t="shared" si="1"/>
        <v>9</v>
      </c>
      <c r="I18" s="75">
        <f>IF($H18="","",MAX(0,ROUND($H18-الإعدادات!$C$24-الإعدادات!$C$27,2)))</f>
        <v>0</v>
      </c>
      <c r="J18" s="76" t="str">
        <f>IF(OR($B18="",$G18="",$G18&lt;=0),"",COUNTIFS($B$6:$B18,$B18,$G$6:$G18,"&gt;0"))</f>
        <v/>
      </c>
      <c r="K18" s="75" t="str">
        <f>IF($J18="","",INDEX(الجزاءات!$E$6:$H$9,MATCH($G18,الجزاءات!$B$6:$B$9,1),MIN($J18,4)))</f>
        <v/>
      </c>
      <c r="L18" s="45"/>
    </row>
    <row r="19" spans="1:12" ht="15.75" customHeight="1" x14ac:dyDescent="0.35">
      <c r="A19" s="31">
        <v>46237</v>
      </c>
      <c r="B19" s="30" t="s">
        <v>238</v>
      </c>
      <c r="C19" s="72" t="str">
        <f>IF($B19="","",IFERROR(INDEX(الموظفون!$C$6:$C$45,MATCH($B19,الموظفون!$B$6:$B$45,0)),""))</f>
        <v>عمر شعبان النجار</v>
      </c>
      <c r="D19" s="73">
        <f>IF($B19="","",IFERROR(INDEX(الموظفون!$M$6:$M$45,MATCH($B19,الموظفون!$B$6:$B$45,0)),""))</f>
        <v>0.29166666666666702</v>
      </c>
      <c r="E19" s="49">
        <v>0.34375</v>
      </c>
      <c r="F19" s="49">
        <v>0.70833333333333304</v>
      </c>
      <c r="G19" s="74">
        <f t="shared" si="0"/>
        <v>75</v>
      </c>
      <c r="H19" s="75">
        <f t="shared" si="1"/>
        <v>8.75</v>
      </c>
      <c r="I19" s="75">
        <f>IF($H19="","",MAX(0,ROUND($H19-الإعدادات!$C$24-الإعدادات!$C$27,2)))</f>
        <v>0</v>
      </c>
      <c r="J19" s="76">
        <f>IF(OR($B19="",$G19="",$G19&lt;=0),"",COUNTIFS($B$6:$B19,$B19,$G$6:$G19,"&gt;0"))</f>
        <v>2</v>
      </c>
      <c r="K19" s="75">
        <f>IF($J19="","",INDEX(الجزاءات!$E$6:$H$9,MATCH($G19,الجزاءات!$B$6:$B$9,1),MIN($J19,4)))</f>
        <v>1</v>
      </c>
      <c r="L19" s="45"/>
    </row>
    <row r="20" spans="1:12" ht="15.75" customHeight="1" x14ac:dyDescent="0.35">
      <c r="A20" s="31">
        <v>46237</v>
      </c>
      <c r="B20" s="30" t="s">
        <v>243</v>
      </c>
      <c r="C20" s="72" t="str">
        <f>IF($B20="","",IFERROR(INDEX(الموظفون!$C$6:$C$45,MATCH($B20,الموظفون!$B$6:$B$45,0)),""))</f>
        <v>هبة رمضان عبد الحميد</v>
      </c>
      <c r="D20" s="73">
        <f>IF($B20="","",IFERROR(INDEX(الموظفون!$M$6:$M$45,MATCH($B20,الموظفون!$B$6:$B$45,0)),""))</f>
        <v>0.29166666666666702</v>
      </c>
      <c r="E20" s="49">
        <v>0.29166666666666702</v>
      </c>
      <c r="F20" s="49">
        <v>0.66666666666666696</v>
      </c>
      <c r="G20" s="74">
        <f t="shared" si="0"/>
        <v>0</v>
      </c>
      <c r="H20" s="75">
        <f t="shared" si="1"/>
        <v>9</v>
      </c>
      <c r="I20" s="75">
        <f>IF($H20="","",MAX(0,ROUND($H20-الإعدادات!$C$24-الإعدادات!$C$27,2)))</f>
        <v>0</v>
      </c>
      <c r="J20" s="76" t="str">
        <f>IF(OR($B20="",$G20="",$G20&lt;=0),"",COUNTIFS($B$6:$B20,$B20,$G$6:$G20,"&gt;0"))</f>
        <v/>
      </c>
      <c r="K20" s="75" t="str">
        <f>IF($J20="","",INDEX(الجزاءات!$E$6:$H$9,MATCH($G20,الجزاءات!$B$6:$B$9,1),MIN($J20,4)))</f>
        <v/>
      </c>
      <c r="L20" s="45"/>
    </row>
    <row r="21" spans="1:12" ht="15.75" customHeight="1" x14ac:dyDescent="0.35">
      <c r="A21" s="31">
        <v>46237</v>
      </c>
      <c r="B21" s="30" t="s">
        <v>245</v>
      </c>
      <c r="C21" s="72" t="str">
        <f>IF($B21="","",IFERROR(INDEX(الموظفون!$C$6:$C$45,MATCH($B21,الموظفون!$B$6:$B$45,0)),""))</f>
        <v>نورة العمري</v>
      </c>
      <c r="D21" s="73">
        <f>IF($B21="","",IFERROR(INDEX(الموظفون!$M$6:$M$45,MATCH($B21,الموظفون!$B$6:$B$45,0)),""))</f>
        <v>0.29166666666666702</v>
      </c>
      <c r="E21" s="49">
        <v>0.29166666666666702</v>
      </c>
      <c r="F21" s="49">
        <v>0.66666666666666696</v>
      </c>
      <c r="G21" s="74">
        <f t="shared" si="0"/>
        <v>0</v>
      </c>
      <c r="H21" s="75">
        <f t="shared" si="1"/>
        <v>9</v>
      </c>
      <c r="I21" s="75">
        <f>IF($H21="","",MAX(0,ROUND($H21-الإعدادات!$C$24-الإعدادات!$C$27,2)))</f>
        <v>0</v>
      </c>
      <c r="J21" s="76" t="str">
        <f>IF(OR($B21="",$G21="",$G21&lt;=0),"",COUNTIFS($B$6:$B21,$B21,$G$6:$G21,"&gt;0"))</f>
        <v/>
      </c>
      <c r="K21" s="75" t="str">
        <f>IF($J21="","",INDEX(الجزاءات!$E$6:$H$9,MATCH($G21,الجزاءات!$B$6:$B$9,1),MIN($J21,4)))</f>
        <v/>
      </c>
      <c r="L21" s="45"/>
    </row>
    <row r="22" spans="1:12" ht="15.75" customHeight="1" x14ac:dyDescent="0.35">
      <c r="A22" s="31">
        <v>46237</v>
      </c>
      <c r="B22" s="30" t="s">
        <v>252</v>
      </c>
      <c r="C22" s="72" t="str">
        <f>IF($B22="","",IFERROR(INDEX(الموظفون!$C$6:$C$45,MATCH($B22,الموظفون!$B$6:$B$45,0)),""))</f>
        <v>سارة الشريف عبد الله</v>
      </c>
      <c r="D22" s="73">
        <f>IF($B22="","",IFERROR(INDEX(الموظفون!$M$6:$M$45,MATCH($B22,الموظفون!$B$6:$B$45,0)),""))</f>
        <v>0.33333333333333298</v>
      </c>
      <c r="E22" s="49">
        <v>0.36111111111111099</v>
      </c>
      <c r="F22" s="49">
        <v>0.70833333333333304</v>
      </c>
      <c r="G22" s="74">
        <f t="shared" si="0"/>
        <v>40</v>
      </c>
      <c r="H22" s="75">
        <f t="shared" si="1"/>
        <v>8.33</v>
      </c>
      <c r="I22" s="75">
        <f>IF($H22="","",MAX(0,ROUND($H22-الإعدادات!$C$24-الإعدادات!$C$27,2)))</f>
        <v>0</v>
      </c>
      <c r="J22" s="76">
        <f>IF(OR($B22="",$G22="",$G22&lt;=0),"",COUNTIFS($B$6:$B22,$B22,$G$6:$G22,"&gt;0"))</f>
        <v>2</v>
      </c>
      <c r="K22" s="75">
        <f>IF($J22="","",INDEX(الجزاءات!$E$6:$H$9,MATCH($G22,الجزاءات!$B$6:$B$9,1),MIN($J22,4)))</f>
        <v>0.5</v>
      </c>
      <c r="L22" s="45"/>
    </row>
    <row r="23" spans="1:12" ht="15.75" customHeight="1" x14ac:dyDescent="0.35">
      <c r="A23" s="31">
        <v>46237</v>
      </c>
      <c r="B23" s="30" t="s">
        <v>254</v>
      </c>
      <c r="C23" s="72" t="str">
        <f>IF($B23="","",IFERROR(INDEX(الموظفون!$C$6:$C$45,MATCH($B23,الموظفون!$B$6:$B$45,0)),""))</f>
        <v>ريم القحطاني</v>
      </c>
      <c r="D23" s="73">
        <f>IF($B23="","",IFERROR(INDEX(الموظفون!$M$6:$M$45,MATCH($B23,الموظفون!$B$6:$B$45,0)),""))</f>
        <v>0.33333333333333298</v>
      </c>
      <c r="E23" s="49">
        <v>0.33333333333333298</v>
      </c>
      <c r="F23" s="49">
        <v>0.70833333333333304</v>
      </c>
      <c r="G23" s="74">
        <f t="shared" si="0"/>
        <v>0</v>
      </c>
      <c r="H23" s="75">
        <f t="shared" si="1"/>
        <v>9</v>
      </c>
      <c r="I23" s="75">
        <f>IF($H23="","",MAX(0,ROUND($H23-الإعدادات!$C$24-الإعدادات!$C$27,2)))</f>
        <v>0</v>
      </c>
      <c r="J23" s="76" t="str">
        <f>IF(OR($B23="",$G23="",$G23&lt;=0),"",COUNTIFS($B$6:$B23,$B23,$G$6:$G23,"&gt;0"))</f>
        <v/>
      </c>
      <c r="K23" s="75" t="str">
        <f>IF($J23="","",INDEX(الجزاءات!$E$6:$H$9,MATCH($G23,الجزاءات!$B$6:$B$9,1),MIN($J23,4)))</f>
        <v/>
      </c>
      <c r="L23" s="45"/>
    </row>
    <row r="24" spans="1:12" ht="15.75" customHeight="1" x14ac:dyDescent="0.35">
      <c r="A24" s="31">
        <v>46237</v>
      </c>
      <c r="B24" s="30" t="s">
        <v>260</v>
      </c>
      <c r="C24" s="72" t="str">
        <f>IF($B24="","",IFERROR(INDEX(الموظفون!$C$6:$C$45,MATCH($B24,الموظفون!$B$6:$B$45,0)),""))</f>
        <v>هيا الغانم</v>
      </c>
      <c r="D24" s="73">
        <f>IF($B24="","",IFERROR(INDEX(الموظفون!$M$6:$M$45,MATCH($B24,الموظفون!$B$6:$B$45,0)),""))</f>
        <v>0.33333333333333298</v>
      </c>
      <c r="E24" s="49">
        <v>0.33333333333333298</v>
      </c>
      <c r="F24" s="49">
        <v>0.70833333333333304</v>
      </c>
      <c r="G24" s="74">
        <f t="shared" si="0"/>
        <v>0</v>
      </c>
      <c r="H24" s="75">
        <f t="shared" si="1"/>
        <v>9</v>
      </c>
      <c r="I24" s="75">
        <f>IF($H24="","",MAX(0,ROUND($H24-الإعدادات!$C$24-الإعدادات!$C$27,2)))</f>
        <v>0</v>
      </c>
      <c r="J24" s="76" t="str">
        <f>IF(OR($B24="",$G24="",$G24&lt;=0),"",COUNTIFS($B$6:$B24,$B24,$G$6:$G24,"&gt;0"))</f>
        <v/>
      </c>
      <c r="K24" s="75" t="str">
        <f>IF($J24="","",INDEX(الجزاءات!$E$6:$H$9,MATCH($G24,الجزاءات!$B$6:$B$9,1),MIN($J24,4)))</f>
        <v/>
      </c>
      <c r="L24" s="45"/>
    </row>
    <row r="25" spans="1:12" ht="15.75" customHeight="1" x14ac:dyDescent="0.35">
      <c r="A25" s="31">
        <v>46237</v>
      </c>
      <c r="B25" s="30" t="s">
        <v>264</v>
      </c>
      <c r="C25" s="72" t="str">
        <f>IF($B25="","",IFERROR(INDEX(الموظفون!$C$6:$C$45,MATCH($B25,الموظفون!$B$6:$B$45,0)),""))</f>
        <v>أروى العسيري</v>
      </c>
      <c r="D25" s="73">
        <f>IF($B25="","",IFERROR(INDEX(الموظفون!$M$6:$M$45,MATCH($B25,الموظفون!$B$6:$B$45,0)),""))</f>
        <v>0.33333333333333298</v>
      </c>
      <c r="E25" s="49">
        <v>0.33333333333333298</v>
      </c>
      <c r="F25" s="49">
        <v>0.70833333333333304</v>
      </c>
      <c r="G25" s="74">
        <f t="shared" si="0"/>
        <v>0</v>
      </c>
      <c r="H25" s="75">
        <f t="shared" si="1"/>
        <v>9</v>
      </c>
      <c r="I25" s="75">
        <f>IF($H25="","",MAX(0,ROUND($H25-الإعدادات!$C$24-الإعدادات!$C$27,2)))</f>
        <v>0</v>
      </c>
      <c r="J25" s="76" t="str">
        <f>IF(OR($B25="",$G25="",$G25&lt;=0),"",COUNTIFS($B$6:$B25,$B25,$G$6:$G25,"&gt;0"))</f>
        <v/>
      </c>
      <c r="K25" s="75" t="str">
        <f>IF($J25="","",INDEX(الجزاءات!$E$6:$H$9,MATCH($G25,الجزاءات!$B$6:$B$9,1),MIN($J25,4)))</f>
        <v/>
      </c>
      <c r="L25" s="45"/>
    </row>
    <row r="26" spans="1:12" ht="15.75" customHeight="1" x14ac:dyDescent="0.35">
      <c r="A26" s="31">
        <v>46237</v>
      </c>
      <c r="B26" s="30" t="s">
        <v>269</v>
      </c>
      <c r="C26" s="72" t="str">
        <f>IF($B26="","",IFERROR(INDEX(الموظفون!$C$6:$C$45,MATCH($B26,الموظفون!$B$6:$B$45,0)),""))</f>
        <v>تركي العنزي</v>
      </c>
      <c r="D26" s="73">
        <f>IF($B26="","",IFERROR(INDEX(الموظفون!$M$6:$M$45,MATCH($B26,الموظفون!$B$6:$B$45,0)),""))</f>
        <v>0.33333333333333298</v>
      </c>
      <c r="E26" s="49">
        <v>0.33333333333333298</v>
      </c>
      <c r="F26" s="49">
        <v>0.70833333333333304</v>
      </c>
      <c r="G26" s="74">
        <f t="shared" si="0"/>
        <v>0</v>
      </c>
      <c r="H26" s="75">
        <f t="shared" si="1"/>
        <v>9</v>
      </c>
      <c r="I26" s="75">
        <f>IF($H26="","",MAX(0,ROUND($H26-الإعدادات!$C$24-الإعدادات!$C$27,2)))</f>
        <v>0</v>
      </c>
      <c r="J26" s="76" t="str">
        <f>IF(OR($B26="",$G26="",$G26&lt;=0),"",COUNTIFS($B$6:$B26,$B26,$G$6:$G26,"&gt;0"))</f>
        <v/>
      </c>
      <c r="K26" s="75" t="str">
        <f>IF($J26="","",INDEX(الجزاءات!$E$6:$H$9,MATCH($G26,الجزاءات!$B$6:$B$9,1),MIN($J26,4)))</f>
        <v/>
      </c>
      <c r="L26" s="45"/>
    </row>
    <row r="27" spans="1:12" ht="15.75" customHeight="1" x14ac:dyDescent="0.35">
      <c r="A27" s="31">
        <v>46237</v>
      </c>
      <c r="B27" s="30" t="s">
        <v>270</v>
      </c>
      <c r="C27" s="72" t="str">
        <f>IF($B27="","",IFERROR(INDEX(الموظفون!$C$6:$C$45,MATCH($B27,الموظفون!$B$6:$B$45,0)),""))</f>
        <v>تامر النجار</v>
      </c>
      <c r="D27" s="73">
        <f>IF($B27="","",IFERROR(INDEX(الموظفون!$M$6:$M$45,MATCH($B27,الموظفون!$B$6:$B$45,0)),""))</f>
        <v>0.33333333333333298</v>
      </c>
      <c r="E27" s="49">
        <v>0.33333333333333298</v>
      </c>
      <c r="F27" s="49">
        <v>0.70833333333333304</v>
      </c>
      <c r="G27" s="74">
        <f t="shared" si="0"/>
        <v>0</v>
      </c>
      <c r="H27" s="75">
        <f t="shared" si="1"/>
        <v>9</v>
      </c>
      <c r="I27" s="75">
        <f>IF($H27="","",MAX(0,ROUND($H27-الإعدادات!$C$24-الإعدادات!$C$27,2)))</f>
        <v>0</v>
      </c>
      <c r="J27" s="76" t="str">
        <f>IF(OR($B27="",$G27="",$G27&lt;=0),"",COUNTIFS($B$6:$B27,$B27,$G$6:$G27,"&gt;0"))</f>
        <v/>
      </c>
      <c r="K27" s="75" t="str">
        <f>IF($J27="","",INDEX(الجزاءات!$E$6:$H$9,MATCH($G27,الجزاءات!$B$6:$B$9,1),MIN($J27,4)))</f>
        <v/>
      </c>
      <c r="L27" s="45"/>
    </row>
    <row r="28" spans="1:12" ht="15.75" customHeight="1" x14ac:dyDescent="0.35">
      <c r="A28" s="31">
        <v>46238</v>
      </c>
      <c r="B28" s="30" t="s">
        <v>226</v>
      </c>
      <c r="C28" s="72" t="str">
        <f>IF($B28="","",IFERROR(INDEX(الموظفون!$C$6:$C$45,MATCH($B28,الموظفون!$B$6:$B$45,0)),""))</f>
        <v>فيصل العتيبي</v>
      </c>
      <c r="D28" s="73">
        <f>IF($B28="","",IFERROR(INDEX(الموظفون!$M$6:$M$45,MATCH($B28,الموظفون!$B$6:$B$45,0)),""))</f>
        <v>0.33333333333333298</v>
      </c>
      <c r="E28" s="49">
        <v>0.33680555555555602</v>
      </c>
      <c r="F28" s="49">
        <v>0.70833333333333304</v>
      </c>
      <c r="G28" s="74">
        <f t="shared" si="0"/>
        <v>5</v>
      </c>
      <c r="H28" s="75">
        <f t="shared" si="1"/>
        <v>8.92</v>
      </c>
      <c r="I28" s="75">
        <f>IF($H28="","",MAX(0,ROUND($H28-الإعدادات!$C$24-الإعدادات!$C$27,2)))</f>
        <v>0</v>
      </c>
      <c r="J28" s="76">
        <f>IF(OR($B28="",$G28="",$G28&lt;=0),"",COUNTIFS($B$6:$B28,$B28,$G$6:$G28,"&gt;0"))</f>
        <v>1</v>
      </c>
      <c r="K28" s="75">
        <f>IF($J28="","",INDEX(الجزاءات!$E$6:$H$9,MATCH($G28,الجزاءات!$B$6:$B$9,1),MIN($J28,4)))</f>
        <v>0</v>
      </c>
      <c r="L28" s="45"/>
    </row>
    <row r="29" spans="1:12" ht="15.75" customHeight="1" x14ac:dyDescent="0.35">
      <c r="A29" s="31">
        <v>46238</v>
      </c>
      <c r="B29" s="30" t="s">
        <v>228</v>
      </c>
      <c r="C29" s="72" t="str">
        <f>IF($B29="","",IFERROR(INDEX(الموظفون!$C$6:$C$45,MATCH($B29,الموظفون!$B$6:$B$45,0)),""))</f>
        <v>يوسف إبراهيم فؤاد</v>
      </c>
      <c r="D29" s="73">
        <f>IF($B29="","",IFERROR(INDEX(الموظفون!$M$6:$M$45,MATCH($B29,الموظفون!$B$6:$B$45,0)),""))</f>
        <v>0.33333333333333298</v>
      </c>
      <c r="E29" s="49">
        <v>0.35069444444444398</v>
      </c>
      <c r="F29" s="49">
        <v>0.70833333333333304</v>
      </c>
      <c r="G29" s="74">
        <f t="shared" si="0"/>
        <v>25</v>
      </c>
      <c r="H29" s="75">
        <f t="shared" si="1"/>
        <v>8.58</v>
      </c>
      <c r="I29" s="75">
        <f>IF($H29="","",MAX(0,ROUND($H29-الإعدادات!$C$24-الإعدادات!$C$27,2)))</f>
        <v>0</v>
      </c>
      <c r="J29" s="76">
        <f>IF(OR($B29="",$G29="",$G29&lt;=0),"",COUNTIFS($B$6:$B29,$B29,$G$6:$G29,"&gt;0"))</f>
        <v>3</v>
      </c>
      <c r="K29" s="75">
        <f>IF($J29="","",INDEX(الجزاءات!$E$6:$H$9,MATCH($G29,الجزاءات!$B$6:$B$9,1),MIN($J29,4)))</f>
        <v>0.25</v>
      </c>
      <c r="L29" s="45"/>
    </row>
    <row r="30" spans="1:12" ht="15.75" customHeight="1" x14ac:dyDescent="0.35">
      <c r="A30" s="31">
        <v>46238</v>
      </c>
      <c r="B30" s="30" t="s">
        <v>234</v>
      </c>
      <c r="C30" s="72" t="str">
        <f>IF($B30="","",IFERROR(INDEX(الموظفون!$C$6:$C$45,MATCH($B30,الموظفون!$B$6:$B$45,0)),""))</f>
        <v>كريم سعيد الخولي</v>
      </c>
      <c r="D30" s="73">
        <f>IF($B30="","",IFERROR(INDEX(الموظفون!$M$6:$M$45,MATCH($B30,الموظفون!$B$6:$B$45,0)),""))</f>
        <v>0.33333333333333298</v>
      </c>
      <c r="E30" s="49">
        <v>0.33333333333333298</v>
      </c>
      <c r="F30" s="49">
        <v>0.70833333333333304</v>
      </c>
      <c r="G30" s="74">
        <f t="shared" si="0"/>
        <v>0</v>
      </c>
      <c r="H30" s="75">
        <f t="shared" si="1"/>
        <v>9</v>
      </c>
      <c r="I30" s="75">
        <f>IF($H30="","",MAX(0,ROUND($H30-الإعدادات!$C$24-الإعدادات!$C$27,2)))</f>
        <v>0</v>
      </c>
      <c r="J30" s="76" t="str">
        <f>IF(OR($B30="",$G30="",$G30&lt;=0),"",COUNTIFS($B$6:$B30,$B30,$G$6:$G30,"&gt;0"))</f>
        <v/>
      </c>
      <c r="K30" s="75" t="str">
        <f>IF($J30="","",INDEX(الجزاءات!$E$6:$H$9,MATCH($G30,الجزاءات!$B$6:$B$9,1),MIN($J30,4)))</f>
        <v/>
      </c>
      <c r="L30" s="45"/>
    </row>
    <row r="31" spans="1:12" ht="15.75" customHeight="1" x14ac:dyDescent="0.35">
      <c r="A31" s="31">
        <v>46238</v>
      </c>
      <c r="B31" s="30" t="s">
        <v>237</v>
      </c>
      <c r="C31" s="72" t="str">
        <f>IF($B31="","",IFERROR(INDEX(الموظفون!$C$6:$C$45,MATCH($B31,الموظفون!$B$6:$B$45,0)),""))</f>
        <v>بندر الغامدي</v>
      </c>
      <c r="D31" s="73">
        <f>IF($B31="","",IFERROR(INDEX(الموظفون!$M$6:$M$45,MATCH($B31,الموظفون!$B$6:$B$45,0)),""))</f>
        <v>0.33333333333333298</v>
      </c>
      <c r="E31" s="49">
        <v>0.35763888888888901</v>
      </c>
      <c r="F31" s="49">
        <v>0.70833333333333304</v>
      </c>
      <c r="G31" s="74">
        <f t="shared" si="0"/>
        <v>35</v>
      </c>
      <c r="H31" s="75">
        <f t="shared" si="1"/>
        <v>8.42</v>
      </c>
      <c r="I31" s="75">
        <f>IF($H31="","",MAX(0,ROUND($H31-الإعدادات!$C$24-الإعدادات!$C$27,2)))</f>
        <v>0</v>
      </c>
      <c r="J31" s="76">
        <f>IF(OR($B31="",$G31="",$G31&lt;=0),"",COUNTIFS($B$6:$B31,$B31,$G$6:$G31,"&gt;0"))</f>
        <v>1</v>
      </c>
      <c r="K31" s="75">
        <f>IF($J31="","",INDEX(الجزاءات!$E$6:$H$9,MATCH($G31,الجزاءات!$B$6:$B$9,1),MIN($J31,4)))</f>
        <v>0.25</v>
      </c>
      <c r="L31" s="45"/>
    </row>
    <row r="32" spans="1:12" ht="15.75" customHeight="1" x14ac:dyDescent="0.35">
      <c r="A32" s="31">
        <v>46238</v>
      </c>
      <c r="B32" s="30" t="s">
        <v>243</v>
      </c>
      <c r="C32" s="72" t="str">
        <f>IF($B32="","",IFERROR(INDEX(الموظفون!$C$6:$C$45,MATCH($B32,الموظفون!$B$6:$B$45,0)),""))</f>
        <v>هبة رمضان عبد الحميد</v>
      </c>
      <c r="D32" s="73">
        <f>IF($B32="","",IFERROR(INDEX(الموظفون!$M$6:$M$45,MATCH($B32,الموظفون!$B$6:$B$45,0)),""))</f>
        <v>0.29166666666666702</v>
      </c>
      <c r="E32" s="49">
        <v>0.32638888888888901</v>
      </c>
      <c r="F32" s="49">
        <v>0.66666666666666696</v>
      </c>
      <c r="G32" s="74">
        <f t="shared" si="0"/>
        <v>50</v>
      </c>
      <c r="H32" s="75">
        <f t="shared" si="1"/>
        <v>8.17</v>
      </c>
      <c r="I32" s="75">
        <f>IF($H32="","",MAX(0,ROUND($H32-الإعدادات!$C$24-الإعدادات!$C$27,2)))</f>
        <v>0</v>
      </c>
      <c r="J32" s="76">
        <f>IF(OR($B32="",$G32="",$G32&lt;=0),"",COUNTIFS($B$6:$B32,$B32,$G$6:$G32,"&gt;0"))</f>
        <v>1</v>
      </c>
      <c r="K32" s="75">
        <f>IF($J32="","",INDEX(الجزاءات!$E$6:$H$9,MATCH($G32,الجزاءات!$B$6:$B$9,1),MIN($J32,4)))</f>
        <v>0.25</v>
      </c>
      <c r="L32" s="45"/>
    </row>
    <row r="33" spans="1:12" ht="15.75" customHeight="1" x14ac:dyDescent="0.35">
      <c r="A33" s="31">
        <v>46238</v>
      </c>
      <c r="B33" s="30" t="s">
        <v>252</v>
      </c>
      <c r="C33" s="72" t="str">
        <f>IF($B33="","",IFERROR(INDEX(الموظفون!$C$6:$C$45,MATCH($B33,الموظفون!$B$6:$B$45,0)),""))</f>
        <v>سارة الشريف عبد الله</v>
      </c>
      <c r="D33" s="73">
        <f>IF($B33="","",IFERROR(INDEX(الموظفون!$M$6:$M$45,MATCH($B33,الموظفون!$B$6:$B$45,0)),""))</f>
        <v>0.33333333333333298</v>
      </c>
      <c r="E33" s="49">
        <v>0.34027777777777801</v>
      </c>
      <c r="F33" s="49">
        <v>0.70833333333333304</v>
      </c>
      <c r="G33" s="74">
        <f t="shared" si="0"/>
        <v>10</v>
      </c>
      <c r="H33" s="75">
        <f t="shared" si="1"/>
        <v>8.83</v>
      </c>
      <c r="I33" s="75">
        <f>IF($H33="","",MAX(0,ROUND($H33-الإعدادات!$C$24-الإعدادات!$C$27,2)))</f>
        <v>0</v>
      </c>
      <c r="J33" s="76">
        <f>IF(OR($B33="",$G33="",$G33&lt;=0),"",COUNTIFS($B$6:$B33,$B33,$G$6:$G33,"&gt;0"))</f>
        <v>3</v>
      </c>
      <c r="K33" s="75">
        <f>IF($J33="","",INDEX(الجزاءات!$E$6:$H$9,MATCH($G33,الجزاءات!$B$6:$B$9,1),MIN($J33,4)))</f>
        <v>0.1</v>
      </c>
      <c r="L33" s="45"/>
    </row>
    <row r="34" spans="1:12" ht="15.75" customHeight="1" x14ac:dyDescent="0.35">
      <c r="A34" s="31">
        <v>46238</v>
      </c>
      <c r="B34" s="30" t="s">
        <v>282</v>
      </c>
      <c r="C34" s="72" t="str">
        <f>IF($B34="","",IFERROR(INDEX(الموظفون!$C$6:$C$45,MATCH($B34,الموظفون!$B$6:$B$45,0)),""))</f>
        <v>دلال البلوي</v>
      </c>
      <c r="D34" s="73">
        <f>IF($B34="","",IFERROR(INDEX(الموظفون!$M$6:$M$45,MATCH($B34,الموظفون!$B$6:$B$45,0)),""))</f>
        <v>0.35416666666666702</v>
      </c>
      <c r="E34" s="49">
        <v>0.38194444444444398</v>
      </c>
      <c r="F34" s="49">
        <v>0.72916666666666696</v>
      </c>
      <c r="G34" s="74">
        <f t="shared" si="0"/>
        <v>40</v>
      </c>
      <c r="H34" s="75">
        <f t="shared" si="1"/>
        <v>8.33</v>
      </c>
      <c r="I34" s="75">
        <f>IF($H34="","",MAX(0,ROUND($H34-الإعدادات!$C$24-الإعدادات!$C$27,2)))</f>
        <v>0</v>
      </c>
      <c r="J34" s="76">
        <f>IF(OR($B34="",$G34="",$G34&lt;=0),"",COUNTIFS($B$6:$B34,$B34,$G$6:$G34,"&gt;0"))</f>
        <v>2</v>
      </c>
      <c r="K34" s="75">
        <f>IF($J34="","",INDEX(الجزاءات!$E$6:$H$9,MATCH($G34,الجزاءات!$B$6:$B$9,1),MIN($J34,4)))</f>
        <v>0.5</v>
      </c>
      <c r="L34" s="45"/>
    </row>
    <row r="35" spans="1:12" ht="15.75" customHeight="1" x14ac:dyDescent="0.35">
      <c r="A35" s="31">
        <v>46239</v>
      </c>
      <c r="B35" s="30" t="s">
        <v>228</v>
      </c>
      <c r="C35" s="72" t="str">
        <f>IF($B35="","",IFERROR(INDEX(الموظفون!$C$6:$C$45,MATCH($B35,الموظفون!$B$6:$B$45,0)),""))</f>
        <v>يوسف إبراهيم فؤاد</v>
      </c>
      <c r="D35" s="73">
        <f>IF($B35="","",IFERROR(INDEX(الموظفون!$M$6:$M$45,MATCH($B35,الموظفون!$B$6:$B$45,0)),""))</f>
        <v>0.33333333333333298</v>
      </c>
      <c r="E35" s="49">
        <v>0.34583333333333299</v>
      </c>
      <c r="F35" s="49">
        <v>0.70833333333333304</v>
      </c>
      <c r="G35" s="74">
        <f t="shared" si="0"/>
        <v>18</v>
      </c>
      <c r="H35" s="75">
        <f t="shared" si="1"/>
        <v>8.6999999999999993</v>
      </c>
      <c r="I35" s="75">
        <f>IF($H35="","",MAX(0,ROUND($H35-الإعدادات!$C$24-الإعدادات!$C$27,2)))</f>
        <v>0</v>
      </c>
      <c r="J35" s="76">
        <f>IF(OR($B35="",$G35="",$G35&lt;=0),"",COUNTIFS($B$6:$B35,$B35,$G$6:$G35,"&gt;0"))</f>
        <v>4</v>
      </c>
      <c r="K35" s="75">
        <f>IF($J35="","",INDEX(الجزاءات!$E$6:$H$9,MATCH($G35,الجزاءات!$B$6:$B$9,1),MIN($J35,4)))</f>
        <v>0.5</v>
      </c>
      <c r="L35" s="45"/>
    </row>
    <row r="36" spans="1:12" ht="15.75" customHeight="1" x14ac:dyDescent="0.35">
      <c r="A36" s="31">
        <v>46239</v>
      </c>
      <c r="B36" s="30" t="s">
        <v>234</v>
      </c>
      <c r="C36" s="72" t="str">
        <f>IF($B36="","",IFERROR(INDEX(الموظفون!$C$6:$C$45,MATCH($B36,الموظفون!$B$6:$B$45,0)),""))</f>
        <v>كريم سعيد الخولي</v>
      </c>
      <c r="D36" s="73">
        <f>IF($B36="","",IFERROR(INDEX(الموظفون!$M$6:$M$45,MATCH($B36,الموظفون!$B$6:$B$45,0)),""))</f>
        <v>0.33333333333333298</v>
      </c>
      <c r="E36" s="49">
        <v>0.33333333333333298</v>
      </c>
      <c r="F36" s="49">
        <v>0.70833333333333304</v>
      </c>
      <c r="G36" s="74">
        <f t="shared" si="0"/>
        <v>0</v>
      </c>
      <c r="H36" s="75">
        <f t="shared" si="1"/>
        <v>9</v>
      </c>
      <c r="I36" s="75">
        <f>IF($H36="","",MAX(0,ROUND($H36-الإعدادات!$C$24-الإعدادات!$C$27,2)))</f>
        <v>0</v>
      </c>
      <c r="J36" s="76" t="str">
        <f>IF(OR($B36="",$G36="",$G36&lt;=0),"",COUNTIFS($B$6:$B36,$B36,$G$6:$G36,"&gt;0"))</f>
        <v/>
      </c>
      <c r="K36" s="75" t="str">
        <f>IF($J36="","",INDEX(الجزاءات!$E$6:$H$9,MATCH($G36,الجزاءات!$B$6:$B$9,1),MIN($J36,4)))</f>
        <v/>
      </c>
      <c r="L36" s="45"/>
    </row>
    <row r="37" spans="1:12" ht="15.75" customHeight="1" x14ac:dyDescent="0.35">
      <c r="A37" s="31">
        <v>46239</v>
      </c>
      <c r="B37" s="30" t="s">
        <v>237</v>
      </c>
      <c r="C37" s="72" t="str">
        <f>IF($B37="","",IFERROR(INDEX(الموظفون!$C$6:$C$45,MATCH($B37,الموظفون!$B$6:$B$45,0)),""))</f>
        <v>بندر الغامدي</v>
      </c>
      <c r="D37" s="73">
        <f>IF($B37="","",IFERROR(INDEX(الموظفون!$M$6:$M$45,MATCH($B37,الموظفون!$B$6:$B$45,0)),""))</f>
        <v>0.33333333333333298</v>
      </c>
      <c r="E37" s="49">
        <v>0.35763888888888901</v>
      </c>
      <c r="F37" s="49">
        <v>0.70833333333333304</v>
      </c>
      <c r="G37" s="74">
        <f t="shared" si="0"/>
        <v>35</v>
      </c>
      <c r="H37" s="75">
        <f t="shared" si="1"/>
        <v>8.42</v>
      </c>
      <c r="I37" s="75">
        <f>IF($H37="","",MAX(0,ROUND($H37-الإعدادات!$C$24-الإعدادات!$C$27,2)))</f>
        <v>0</v>
      </c>
      <c r="J37" s="76">
        <f>IF(OR($B37="",$G37="",$G37&lt;=0),"",COUNTIFS($B$6:$B37,$B37,$G$6:$G37,"&gt;0"))</f>
        <v>2</v>
      </c>
      <c r="K37" s="75">
        <f>IF($J37="","",INDEX(الجزاءات!$E$6:$H$9,MATCH($G37,الجزاءات!$B$6:$B$9,1),MIN($J37,4)))</f>
        <v>0.5</v>
      </c>
      <c r="L37" s="45"/>
    </row>
    <row r="38" spans="1:12" ht="15.75" customHeight="1" x14ac:dyDescent="0.35">
      <c r="A38" s="31">
        <v>46239</v>
      </c>
      <c r="B38" s="30" t="s">
        <v>243</v>
      </c>
      <c r="C38" s="72" t="str">
        <f>IF($B38="","",IFERROR(INDEX(الموظفون!$C$6:$C$45,MATCH($B38,الموظفون!$B$6:$B$45,0)),""))</f>
        <v>هبة رمضان عبد الحميد</v>
      </c>
      <c r="D38" s="73">
        <f>IF($B38="","",IFERROR(INDEX(الموظفون!$M$6:$M$45,MATCH($B38,الموظفون!$B$6:$B$45,0)),""))</f>
        <v>0.29166666666666702</v>
      </c>
      <c r="E38" s="49">
        <v>0.29166666666666702</v>
      </c>
      <c r="F38" s="49">
        <v>0.66666666666666696</v>
      </c>
      <c r="G38" s="74">
        <f t="shared" si="0"/>
        <v>0</v>
      </c>
      <c r="H38" s="75">
        <f t="shared" si="1"/>
        <v>9</v>
      </c>
      <c r="I38" s="75">
        <f>IF($H38="","",MAX(0,ROUND($H38-الإعدادات!$C$24-الإعدادات!$C$27,2)))</f>
        <v>0</v>
      </c>
      <c r="J38" s="76" t="str">
        <f>IF(OR($B38="",$G38="",$G38&lt;=0),"",COUNTIFS($B$6:$B38,$B38,$G$6:$G38,"&gt;0"))</f>
        <v/>
      </c>
      <c r="K38" s="75" t="str">
        <f>IF($J38="","",INDEX(الجزاءات!$E$6:$H$9,MATCH($G38,الجزاءات!$B$6:$B$9,1),MIN($J38,4)))</f>
        <v/>
      </c>
      <c r="L38" s="45"/>
    </row>
    <row r="39" spans="1:12" ht="15.75" customHeight="1" x14ac:dyDescent="0.35">
      <c r="A39" s="31">
        <v>46239</v>
      </c>
      <c r="B39" s="30" t="s">
        <v>252</v>
      </c>
      <c r="C39" s="72" t="str">
        <f>IF($B39="","",IFERROR(INDEX(الموظفون!$C$6:$C$45,MATCH($B39,الموظفون!$B$6:$B$45,0)),""))</f>
        <v>سارة الشريف عبد الله</v>
      </c>
      <c r="D39" s="73">
        <f>IF($B39="","",IFERROR(INDEX(الموظفون!$M$6:$M$45,MATCH($B39,الموظفون!$B$6:$B$45,0)),""))</f>
        <v>0.33333333333333298</v>
      </c>
      <c r="E39" s="49">
        <v>0.34027777777777801</v>
      </c>
      <c r="F39" s="49">
        <v>0.79166666666666696</v>
      </c>
      <c r="G39" s="74">
        <f t="shared" si="0"/>
        <v>10</v>
      </c>
      <c r="H39" s="75">
        <f t="shared" si="1"/>
        <v>10.83</v>
      </c>
      <c r="I39" s="75">
        <f>IF($H39="","",MAX(0,ROUND($H39-الإعدادات!$C$24-الإعدادات!$C$27,2)))</f>
        <v>1.83</v>
      </c>
      <c r="J39" s="76">
        <f>IF(OR($B39="",$G39="",$G39&lt;=0),"",COUNTIFS($B$6:$B39,$B39,$G$6:$G39,"&gt;0"))</f>
        <v>4</v>
      </c>
      <c r="K39" s="75">
        <f>IF($J39="","",INDEX(الجزاءات!$E$6:$H$9,MATCH($G39,الجزاءات!$B$6:$B$9,1),MIN($J39,4)))</f>
        <v>0.2</v>
      </c>
      <c r="L39" s="45"/>
    </row>
    <row r="40" spans="1:12" ht="15.75" customHeight="1" x14ac:dyDescent="0.35">
      <c r="A40" s="31">
        <v>46239</v>
      </c>
      <c r="B40" s="30" t="s">
        <v>254</v>
      </c>
      <c r="C40" s="72" t="str">
        <f>IF($B40="","",IFERROR(INDEX(الموظفون!$C$6:$C$45,MATCH($B40,الموظفون!$B$6:$B$45,0)),""))</f>
        <v>ريم القحطاني</v>
      </c>
      <c r="D40" s="73">
        <f>IF($B40="","",IFERROR(INDEX(الموظفون!$M$6:$M$45,MATCH($B40,الموظفون!$B$6:$B$45,0)),""))</f>
        <v>0.33333333333333298</v>
      </c>
      <c r="E40" s="49">
        <v>0.33333333333333298</v>
      </c>
      <c r="F40" s="49">
        <v>0.70833333333333304</v>
      </c>
      <c r="G40" s="74">
        <f t="shared" si="0"/>
        <v>0</v>
      </c>
      <c r="H40" s="75">
        <f t="shared" si="1"/>
        <v>9</v>
      </c>
      <c r="I40" s="75">
        <f>IF($H40="","",MAX(0,ROUND($H40-الإعدادات!$C$24-الإعدادات!$C$27,2)))</f>
        <v>0</v>
      </c>
      <c r="J40" s="76" t="str">
        <f>IF(OR($B40="",$G40="",$G40&lt;=0),"",COUNTIFS($B$6:$B40,$B40,$G$6:$G40,"&gt;0"))</f>
        <v/>
      </c>
      <c r="K40" s="75" t="str">
        <f>IF($J40="","",INDEX(الجزاءات!$E$6:$H$9,MATCH($G40,الجزاءات!$B$6:$B$9,1),MIN($J40,4)))</f>
        <v/>
      </c>
      <c r="L40" s="45"/>
    </row>
    <row r="41" spans="1:12" ht="15.75" customHeight="1" x14ac:dyDescent="0.35">
      <c r="A41" s="31">
        <v>46239</v>
      </c>
      <c r="B41" s="30" t="s">
        <v>260</v>
      </c>
      <c r="C41" s="72" t="str">
        <f>IF($B41="","",IFERROR(INDEX(الموظفون!$C$6:$C$45,MATCH($B41,الموظفون!$B$6:$B$45,0)),""))</f>
        <v>هيا الغانم</v>
      </c>
      <c r="D41" s="73">
        <f>IF($B41="","",IFERROR(INDEX(الموظفون!$M$6:$M$45,MATCH($B41,الموظفون!$B$6:$B$45,0)),""))</f>
        <v>0.33333333333333298</v>
      </c>
      <c r="E41" s="49">
        <v>0.34166666666666701</v>
      </c>
      <c r="F41" s="49">
        <v>0.70833333333333304</v>
      </c>
      <c r="G41" s="74">
        <f t="shared" si="0"/>
        <v>12</v>
      </c>
      <c r="H41" s="75">
        <f t="shared" si="1"/>
        <v>8.8000000000000007</v>
      </c>
      <c r="I41" s="75">
        <f>IF($H41="","",MAX(0,ROUND($H41-الإعدادات!$C$24-الإعدادات!$C$27,2)))</f>
        <v>0</v>
      </c>
      <c r="J41" s="76">
        <f>IF(OR($B41="",$G41="",$G41&lt;=0),"",COUNTIFS($B$6:$B41,$B41,$G$6:$G41,"&gt;0"))</f>
        <v>1</v>
      </c>
      <c r="K41" s="75">
        <f>IF($J41="","",INDEX(الجزاءات!$E$6:$H$9,MATCH($G41,الجزاءات!$B$6:$B$9,1),MIN($J41,4)))</f>
        <v>0</v>
      </c>
      <c r="L41" s="45"/>
    </row>
    <row r="42" spans="1:12" ht="15.75" customHeight="1" x14ac:dyDescent="0.35">
      <c r="A42" s="31">
        <v>46239</v>
      </c>
      <c r="B42" s="30" t="s">
        <v>269</v>
      </c>
      <c r="C42" s="72" t="str">
        <f>IF($B42="","",IFERROR(INDEX(الموظفون!$C$6:$C$45,MATCH($B42,الموظفون!$B$6:$B$45,0)),""))</f>
        <v>تركي العنزي</v>
      </c>
      <c r="D42" s="73">
        <f>IF($B42="","",IFERROR(INDEX(الموظفون!$M$6:$M$45,MATCH($B42,الموظفون!$B$6:$B$45,0)),""))</f>
        <v>0.33333333333333298</v>
      </c>
      <c r="E42" s="49">
        <v>0.34166666666666701</v>
      </c>
      <c r="F42" s="49">
        <v>0.70833333333333304</v>
      </c>
      <c r="G42" s="74">
        <f t="shared" si="0"/>
        <v>12</v>
      </c>
      <c r="H42" s="75">
        <f t="shared" si="1"/>
        <v>8.8000000000000007</v>
      </c>
      <c r="I42" s="75">
        <f>IF($H42="","",MAX(0,ROUND($H42-الإعدادات!$C$24-الإعدادات!$C$27,2)))</f>
        <v>0</v>
      </c>
      <c r="J42" s="76">
        <f>IF(OR($B42="",$G42="",$G42&lt;=0),"",COUNTIFS($B$6:$B42,$B42,$G$6:$G42,"&gt;0"))</f>
        <v>1</v>
      </c>
      <c r="K42" s="75">
        <f>IF($J42="","",INDEX(الجزاءات!$E$6:$H$9,MATCH($G42,الجزاءات!$B$6:$B$9,1),MIN($J42,4)))</f>
        <v>0</v>
      </c>
      <c r="L42" s="45"/>
    </row>
    <row r="43" spans="1:12" ht="15.75" customHeight="1" x14ac:dyDescent="0.35">
      <c r="A43" s="31">
        <v>46239</v>
      </c>
      <c r="B43" s="30" t="s">
        <v>279</v>
      </c>
      <c r="C43" s="72" t="str">
        <f>IF($B43="","",IFERROR(INDEX(الموظفون!$C$6:$C$45,MATCH($B43,الموظفون!$B$6:$B$45,0)),""))</f>
        <v>منال المطيري</v>
      </c>
      <c r="D43" s="73">
        <f>IF($B43="","",IFERROR(INDEX(الموظفون!$M$6:$M$45,MATCH($B43,الموظفون!$B$6:$B$45,0)),""))</f>
        <v>0.35416666666666702</v>
      </c>
      <c r="E43" s="49">
        <v>0.35416666666666702</v>
      </c>
      <c r="F43" s="49">
        <v>0.72916666666666696</v>
      </c>
      <c r="G43" s="74">
        <f t="shared" si="0"/>
        <v>0</v>
      </c>
      <c r="H43" s="75">
        <f t="shared" si="1"/>
        <v>9</v>
      </c>
      <c r="I43" s="75">
        <f>IF($H43="","",MAX(0,ROUND($H43-الإعدادات!$C$24-الإعدادات!$C$27,2)))</f>
        <v>0</v>
      </c>
      <c r="J43" s="76" t="str">
        <f>IF(OR($B43="",$G43="",$G43&lt;=0),"",COUNTIFS($B$6:$B43,$B43,$G$6:$G43,"&gt;0"))</f>
        <v/>
      </c>
      <c r="K43" s="75" t="str">
        <f>IF($J43="","",INDEX(الجزاءات!$E$6:$H$9,MATCH($G43,الجزاءات!$B$6:$B$9,1),MIN($J43,4)))</f>
        <v/>
      </c>
      <c r="L43" s="45"/>
    </row>
    <row r="44" spans="1:12" ht="15.75" customHeight="1" x14ac:dyDescent="0.35">
      <c r="A44" s="31">
        <v>46239</v>
      </c>
      <c r="B44" s="30" t="s">
        <v>282</v>
      </c>
      <c r="C44" s="72" t="str">
        <f>IF($B44="","",IFERROR(INDEX(الموظفون!$C$6:$C$45,MATCH($B44,الموظفون!$B$6:$B$45,0)),""))</f>
        <v>دلال البلوي</v>
      </c>
      <c r="D44" s="73">
        <f>IF($B44="","",IFERROR(INDEX(الموظفون!$M$6:$M$45,MATCH($B44,الموظفون!$B$6:$B$45,0)),""))</f>
        <v>0.35416666666666702</v>
      </c>
      <c r="E44" s="49">
        <v>0.38194444444444398</v>
      </c>
      <c r="F44" s="49">
        <v>0.72916666666666696</v>
      </c>
      <c r="G44" s="74">
        <f t="shared" si="0"/>
        <v>40</v>
      </c>
      <c r="H44" s="75">
        <f t="shared" si="1"/>
        <v>8.33</v>
      </c>
      <c r="I44" s="75">
        <f>IF($H44="","",MAX(0,ROUND($H44-الإعدادات!$C$24-الإعدادات!$C$27,2)))</f>
        <v>0</v>
      </c>
      <c r="J44" s="76">
        <f>IF(OR($B44="",$G44="",$G44&lt;=0),"",COUNTIFS($B$6:$B44,$B44,$G$6:$G44,"&gt;0"))</f>
        <v>3</v>
      </c>
      <c r="K44" s="75">
        <f>IF($J44="","",INDEX(الجزاءات!$E$6:$H$9,MATCH($G44,الجزاءات!$B$6:$B$9,1),MIN($J44,4)))</f>
        <v>0.75</v>
      </c>
      <c r="L44" s="45"/>
    </row>
    <row r="45" spans="1:12" ht="15.75" customHeight="1" x14ac:dyDescent="0.35">
      <c r="A45" s="31">
        <v>46240</v>
      </c>
      <c r="B45" s="30" t="s">
        <v>228</v>
      </c>
      <c r="C45" s="72" t="str">
        <f>IF($B45="","",IFERROR(INDEX(الموظفون!$C$6:$C$45,MATCH($B45,الموظفون!$B$6:$B$45,0)),""))</f>
        <v>يوسف إبراهيم فؤاد</v>
      </c>
      <c r="D45" s="73">
        <f>IF($B45="","",IFERROR(INDEX(الموظفون!$M$6:$M$45,MATCH($B45,الموظفون!$B$6:$B$45,0)),""))</f>
        <v>0.33333333333333298</v>
      </c>
      <c r="E45" s="49">
        <v>0.35069444444444398</v>
      </c>
      <c r="F45" s="49">
        <v>0.79166666666666696</v>
      </c>
      <c r="G45" s="74">
        <f t="shared" si="0"/>
        <v>25</v>
      </c>
      <c r="H45" s="75">
        <f t="shared" si="1"/>
        <v>10.58</v>
      </c>
      <c r="I45" s="75">
        <f>IF($H45="","",MAX(0,ROUND($H45-الإعدادات!$C$24-الإعدادات!$C$27,2)))</f>
        <v>1.58</v>
      </c>
      <c r="J45" s="76">
        <f>IF(OR($B45="",$G45="",$G45&lt;=0),"",COUNTIFS($B$6:$B45,$B45,$G$6:$G45,"&gt;0"))</f>
        <v>5</v>
      </c>
      <c r="K45" s="75">
        <f>IF($J45="","",INDEX(الجزاءات!$E$6:$H$9,MATCH($G45,الجزاءات!$B$6:$B$9,1),MIN($J45,4)))</f>
        <v>0.5</v>
      </c>
      <c r="L45" s="45"/>
    </row>
    <row r="46" spans="1:12" ht="15.75" customHeight="1" x14ac:dyDescent="0.35">
      <c r="A46" s="31">
        <v>46240</v>
      </c>
      <c r="B46" s="30" t="s">
        <v>237</v>
      </c>
      <c r="C46" s="72" t="str">
        <f>IF($B46="","",IFERROR(INDEX(الموظفون!$C$6:$C$45,MATCH($B46,الموظفون!$B$6:$B$45,0)),""))</f>
        <v>بندر الغامدي</v>
      </c>
      <c r="D46" s="73">
        <f>IF($B46="","",IFERROR(INDEX(الموظفون!$M$6:$M$45,MATCH($B46,الموظفون!$B$6:$B$45,0)),""))</f>
        <v>0.33333333333333298</v>
      </c>
      <c r="E46" s="49">
        <v>0.33333333333333298</v>
      </c>
      <c r="F46" s="49">
        <v>0.70833333333333304</v>
      </c>
      <c r="G46" s="74">
        <f t="shared" si="0"/>
        <v>0</v>
      </c>
      <c r="H46" s="75">
        <f t="shared" si="1"/>
        <v>9</v>
      </c>
      <c r="I46" s="75">
        <f>IF($H46="","",MAX(0,ROUND($H46-الإعدادات!$C$24-الإعدادات!$C$27,2)))</f>
        <v>0</v>
      </c>
      <c r="J46" s="76" t="str">
        <f>IF(OR($B46="",$G46="",$G46&lt;=0),"",COUNTIFS($B$6:$B46,$B46,$G$6:$G46,"&gt;0"))</f>
        <v/>
      </c>
      <c r="K46" s="75" t="str">
        <f>IF($J46="","",INDEX(الجزاءات!$E$6:$H$9,MATCH($G46,الجزاءات!$B$6:$B$9,1),MIN($J46,4)))</f>
        <v/>
      </c>
      <c r="L46" s="45"/>
    </row>
    <row r="47" spans="1:12" ht="15.75" customHeight="1" x14ac:dyDescent="0.35">
      <c r="A47" s="31">
        <v>46240</v>
      </c>
      <c r="B47" s="30" t="s">
        <v>245</v>
      </c>
      <c r="C47" s="72" t="str">
        <f>IF($B47="","",IFERROR(INDEX(الموظفون!$C$6:$C$45,MATCH($B47,الموظفون!$B$6:$B$45,0)),""))</f>
        <v>نورة العمري</v>
      </c>
      <c r="D47" s="73">
        <f>IF($B47="","",IFERROR(INDEX(الموظفون!$M$6:$M$45,MATCH($B47,الموظفون!$B$6:$B$45,0)),""))</f>
        <v>0.29166666666666702</v>
      </c>
      <c r="E47" s="49">
        <v>0.29513888888888901</v>
      </c>
      <c r="F47" s="49">
        <v>0.70833333333333304</v>
      </c>
      <c r="G47" s="74">
        <f t="shared" si="0"/>
        <v>5</v>
      </c>
      <c r="H47" s="75">
        <f t="shared" si="1"/>
        <v>9.92</v>
      </c>
      <c r="I47" s="75">
        <f>IF($H47="","",MAX(0,ROUND($H47-الإعدادات!$C$24-الإعدادات!$C$27,2)))</f>
        <v>0.92</v>
      </c>
      <c r="J47" s="76">
        <f>IF(OR($B47="",$G47="",$G47&lt;=0),"",COUNTIFS($B$6:$B47,$B47,$G$6:$G47,"&gt;0"))</f>
        <v>1</v>
      </c>
      <c r="K47" s="75">
        <f>IF($J47="","",INDEX(الجزاءات!$E$6:$H$9,MATCH($G47,الجزاءات!$B$6:$B$9,1),MIN($J47,4)))</f>
        <v>0</v>
      </c>
      <c r="L47" s="45"/>
    </row>
    <row r="48" spans="1:12" ht="15.75" customHeight="1" x14ac:dyDescent="0.35">
      <c r="A48" s="31">
        <v>46240</v>
      </c>
      <c r="B48" s="30" t="s">
        <v>252</v>
      </c>
      <c r="C48" s="72" t="str">
        <f>IF($B48="","",IFERROR(INDEX(الموظفون!$C$6:$C$45,MATCH($B48,الموظفون!$B$6:$B$45,0)),""))</f>
        <v>سارة الشريف عبد الله</v>
      </c>
      <c r="D48" s="73">
        <f>IF($B48="","",IFERROR(INDEX(الموظفون!$M$6:$M$45,MATCH($B48,الموظفون!$B$6:$B$45,0)),""))</f>
        <v>0.33333333333333298</v>
      </c>
      <c r="E48" s="49">
        <v>0.34027777777777801</v>
      </c>
      <c r="F48" s="49">
        <v>0.70833333333333304</v>
      </c>
      <c r="G48" s="74">
        <f t="shared" si="0"/>
        <v>10</v>
      </c>
      <c r="H48" s="75">
        <f t="shared" si="1"/>
        <v>8.83</v>
      </c>
      <c r="I48" s="75">
        <f>IF($H48="","",MAX(0,ROUND($H48-الإعدادات!$C$24-الإعدادات!$C$27,2)))</f>
        <v>0</v>
      </c>
      <c r="J48" s="76">
        <f>IF(OR($B48="",$G48="",$G48&lt;=0),"",COUNTIFS($B$6:$B48,$B48,$G$6:$G48,"&gt;0"))</f>
        <v>5</v>
      </c>
      <c r="K48" s="75">
        <f>IF($J48="","",INDEX(الجزاءات!$E$6:$H$9,MATCH($G48,الجزاءات!$B$6:$B$9,1),MIN($J48,4)))</f>
        <v>0.2</v>
      </c>
      <c r="L48" s="45"/>
    </row>
    <row r="49" spans="1:12" ht="15.75" customHeight="1" x14ac:dyDescent="0.35">
      <c r="A49" s="31">
        <v>46240</v>
      </c>
      <c r="B49" s="30" t="s">
        <v>254</v>
      </c>
      <c r="C49" s="72" t="str">
        <f>IF($B49="","",IFERROR(INDEX(الموظفون!$C$6:$C$45,MATCH($B49,الموظفون!$B$6:$B$45,0)),""))</f>
        <v>ريم القحطاني</v>
      </c>
      <c r="D49" s="73">
        <f>IF($B49="","",IFERROR(INDEX(الموظفون!$M$6:$M$45,MATCH($B49,الموظفون!$B$6:$B$45,0)),""))</f>
        <v>0.33333333333333298</v>
      </c>
      <c r="E49" s="49">
        <v>0.33680555555555602</v>
      </c>
      <c r="F49" s="49">
        <v>0.79166666666666696</v>
      </c>
      <c r="G49" s="74">
        <f t="shared" si="0"/>
        <v>5</v>
      </c>
      <c r="H49" s="75">
        <f t="shared" si="1"/>
        <v>10.92</v>
      </c>
      <c r="I49" s="75">
        <f>IF($H49="","",MAX(0,ROUND($H49-الإعدادات!$C$24-الإعدادات!$C$27,2)))</f>
        <v>1.92</v>
      </c>
      <c r="J49" s="76">
        <f>IF(OR($B49="",$G49="",$G49&lt;=0),"",COUNTIFS($B$6:$B49,$B49,$G$6:$G49,"&gt;0"))</f>
        <v>1</v>
      </c>
      <c r="K49" s="75">
        <f>IF($J49="","",INDEX(الجزاءات!$E$6:$H$9,MATCH($G49,الجزاءات!$B$6:$B$9,1),MIN($J49,4)))</f>
        <v>0</v>
      </c>
      <c r="L49" s="45"/>
    </row>
    <row r="50" spans="1:12" ht="15.75" customHeight="1" x14ac:dyDescent="0.35">
      <c r="A50" s="31">
        <v>46240</v>
      </c>
      <c r="B50" s="30" t="s">
        <v>266</v>
      </c>
      <c r="C50" s="72" t="str">
        <f>IF($B50="","",IFERROR(INDEX(الموظفون!$C$6:$C$45,MATCH($B50,الموظفون!$B$6:$B$45,0)),""))</f>
        <v>مصطفى فهمي عبد الجواد</v>
      </c>
      <c r="D50" s="73">
        <f>IF($B50="","",IFERROR(INDEX(الموظفون!$M$6:$M$45,MATCH($B50,الموظفون!$B$6:$B$45,0)),""))</f>
        <v>0.33333333333333298</v>
      </c>
      <c r="E50" s="49">
        <v>0.33333333333333298</v>
      </c>
      <c r="F50" s="49">
        <v>0.70833333333333304</v>
      </c>
      <c r="G50" s="74">
        <f t="shared" si="0"/>
        <v>0</v>
      </c>
      <c r="H50" s="75">
        <f t="shared" si="1"/>
        <v>9</v>
      </c>
      <c r="I50" s="75">
        <f>IF($H50="","",MAX(0,ROUND($H50-الإعدادات!$C$24-الإعدادات!$C$27,2)))</f>
        <v>0</v>
      </c>
      <c r="J50" s="76" t="str">
        <f>IF(OR($B50="",$G50="",$G50&lt;=0),"",COUNTIFS($B$6:$B50,$B50,$G$6:$G50,"&gt;0"))</f>
        <v/>
      </c>
      <c r="K50" s="75" t="str">
        <f>IF($J50="","",INDEX(الجزاءات!$E$6:$H$9,MATCH($G50,الجزاءات!$B$6:$B$9,1),MIN($J50,4)))</f>
        <v/>
      </c>
      <c r="L50" s="45"/>
    </row>
    <row r="51" spans="1:12" ht="15.75" customHeight="1" x14ac:dyDescent="0.35">
      <c r="A51" s="31">
        <v>46240</v>
      </c>
      <c r="B51" s="30" t="s">
        <v>269</v>
      </c>
      <c r="C51" s="72" t="str">
        <f>IF($B51="","",IFERROR(INDEX(الموظفون!$C$6:$C$45,MATCH($B51,الموظفون!$B$6:$B$45,0)),""))</f>
        <v>تركي العنزي</v>
      </c>
      <c r="D51" s="73">
        <f>IF($B51="","",IFERROR(INDEX(الموظفون!$M$6:$M$45,MATCH($B51,الموظفون!$B$6:$B$45,0)),""))</f>
        <v>0.33333333333333298</v>
      </c>
      <c r="E51" s="49">
        <v>0.33333333333333298</v>
      </c>
      <c r="F51" s="49">
        <v>0.70833333333333304</v>
      </c>
      <c r="G51" s="74">
        <f t="shared" si="0"/>
        <v>0</v>
      </c>
      <c r="H51" s="75">
        <f t="shared" si="1"/>
        <v>9</v>
      </c>
      <c r="I51" s="75">
        <f>IF($H51="","",MAX(0,ROUND($H51-الإعدادات!$C$24-الإعدادات!$C$27,2)))</f>
        <v>0</v>
      </c>
      <c r="J51" s="76" t="str">
        <f>IF(OR($B51="",$G51="",$G51&lt;=0),"",COUNTIFS($B$6:$B51,$B51,$G$6:$G51,"&gt;0"))</f>
        <v/>
      </c>
      <c r="K51" s="75" t="str">
        <f>IF($J51="","",INDEX(الجزاءات!$E$6:$H$9,MATCH($G51,الجزاءات!$B$6:$B$9,1),MIN($J51,4)))</f>
        <v/>
      </c>
      <c r="L51" s="45"/>
    </row>
    <row r="52" spans="1:12" ht="15.75" customHeight="1" x14ac:dyDescent="0.35">
      <c r="A52" s="31">
        <v>46240</v>
      </c>
      <c r="B52" s="30" t="s">
        <v>270</v>
      </c>
      <c r="C52" s="72" t="str">
        <f>IF($B52="","",IFERROR(INDEX(الموظفون!$C$6:$C$45,MATCH($B52,الموظفون!$B$6:$B$45,0)),""))</f>
        <v>تامر النجار</v>
      </c>
      <c r="D52" s="73">
        <f>IF($B52="","",IFERROR(INDEX(الموظفون!$M$6:$M$45,MATCH($B52,الموظفون!$B$6:$B$45,0)),""))</f>
        <v>0.33333333333333298</v>
      </c>
      <c r="E52" s="49">
        <v>0.34166666666666701</v>
      </c>
      <c r="F52" s="49">
        <v>0.70833333333333304</v>
      </c>
      <c r="G52" s="74">
        <f t="shared" si="0"/>
        <v>12</v>
      </c>
      <c r="H52" s="75">
        <f t="shared" si="1"/>
        <v>8.8000000000000007</v>
      </c>
      <c r="I52" s="75">
        <f>IF($H52="","",MAX(0,ROUND($H52-الإعدادات!$C$24-الإعدادات!$C$27,2)))</f>
        <v>0</v>
      </c>
      <c r="J52" s="76">
        <f>IF(OR($B52="",$G52="",$G52&lt;=0),"",COUNTIFS($B$6:$B52,$B52,$G$6:$G52,"&gt;0"))</f>
        <v>1</v>
      </c>
      <c r="K52" s="75">
        <f>IF($J52="","",INDEX(الجزاءات!$E$6:$H$9,MATCH($G52,الجزاءات!$B$6:$B$9,1),MIN($J52,4)))</f>
        <v>0</v>
      </c>
      <c r="L52" s="45"/>
    </row>
    <row r="53" spans="1:12" ht="15.75" customHeight="1" x14ac:dyDescent="0.35">
      <c r="A53" s="31">
        <v>46240</v>
      </c>
      <c r="B53" s="30" t="s">
        <v>282</v>
      </c>
      <c r="C53" s="72" t="str">
        <f>IF($B53="","",IFERROR(INDEX(الموظفون!$C$6:$C$45,MATCH($B53,الموظفون!$B$6:$B$45,0)),""))</f>
        <v>دلال البلوي</v>
      </c>
      <c r="D53" s="73">
        <f>IF($B53="","",IFERROR(INDEX(الموظفون!$M$6:$M$45,MATCH($B53,الموظفون!$B$6:$B$45,0)),""))</f>
        <v>0.35416666666666702</v>
      </c>
      <c r="E53" s="49">
        <v>0.37152777777777801</v>
      </c>
      <c r="F53" s="49">
        <v>0.72916666666666696</v>
      </c>
      <c r="G53" s="74">
        <f t="shared" si="0"/>
        <v>25</v>
      </c>
      <c r="H53" s="75">
        <f t="shared" si="1"/>
        <v>8.58</v>
      </c>
      <c r="I53" s="75">
        <f>IF($H53="","",MAX(0,ROUND($H53-الإعدادات!$C$24-الإعدادات!$C$27,2)))</f>
        <v>0</v>
      </c>
      <c r="J53" s="76">
        <f>IF(OR($B53="",$G53="",$G53&lt;=0),"",COUNTIFS($B$6:$B53,$B53,$G$6:$G53,"&gt;0"))</f>
        <v>4</v>
      </c>
      <c r="K53" s="75">
        <f>IF($J53="","",INDEX(الجزاءات!$E$6:$H$9,MATCH($G53,الجزاءات!$B$6:$B$9,1),MIN($J53,4)))</f>
        <v>0.5</v>
      </c>
      <c r="L53" s="45"/>
    </row>
    <row r="54" spans="1:12" ht="15.75" customHeight="1" x14ac:dyDescent="0.35">
      <c r="A54" s="31">
        <v>46240</v>
      </c>
      <c r="B54" s="30" t="s">
        <v>286</v>
      </c>
      <c r="C54" s="72" t="str">
        <f>IF($B54="","",IFERROR(INDEX(الموظفون!$C$6:$C$45,MATCH($B54,الموظفون!$B$6:$B$45,0)),""))</f>
        <v>مي الفهد</v>
      </c>
      <c r="D54" s="73">
        <f>IF($B54="","",IFERROR(INDEX(الموظفون!$M$6:$M$45,MATCH($B54,الموظفون!$B$6:$B$45,0)),""))</f>
        <v>0.35416666666666702</v>
      </c>
      <c r="E54" s="49">
        <v>0.35416666666666702</v>
      </c>
      <c r="F54" s="49">
        <v>0.72916666666666696</v>
      </c>
      <c r="G54" s="74">
        <f t="shared" si="0"/>
        <v>0</v>
      </c>
      <c r="H54" s="75">
        <f t="shared" si="1"/>
        <v>9</v>
      </c>
      <c r="I54" s="75">
        <f>IF($H54="","",MAX(0,ROUND($H54-الإعدادات!$C$24-الإعدادات!$C$27,2)))</f>
        <v>0</v>
      </c>
      <c r="J54" s="76" t="str">
        <f>IF(OR($B54="",$G54="",$G54&lt;=0),"",COUNTIFS($B$6:$B54,$B54,$G$6:$G54,"&gt;0"))</f>
        <v/>
      </c>
      <c r="K54" s="75" t="str">
        <f>IF($J54="","",INDEX(الجزاءات!$E$6:$H$9,MATCH($G54,الجزاءات!$B$6:$B$9,1),MIN($J54,4)))</f>
        <v/>
      </c>
      <c r="L54" s="45"/>
    </row>
    <row r="55" spans="1:12" ht="15.75" customHeight="1" x14ac:dyDescent="0.35">
      <c r="A55" s="31">
        <v>46243</v>
      </c>
      <c r="B55" s="30" t="s">
        <v>228</v>
      </c>
      <c r="C55" s="72" t="str">
        <f>IF($B55="","",IFERROR(INDEX(الموظفون!$C$6:$C$45,MATCH($B55,الموظفون!$B$6:$B$45,0)),""))</f>
        <v>يوسف إبراهيم فؤاد</v>
      </c>
      <c r="D55" s="73">
        <f>IF($B55="","",IFERROR(INDEX(الموظفون!$M$6:$M$45,MATCH($B55,الموظفون!$B$6:$B$45,0)),""))</f>
        <v>0.33333333333333298</v>
      </c>
      <c r="E55" s="49">
        <v>0.37152777777777801</v>
      </c>
      <c r="F55" s="49">
        <v>0.70833333333333304</v>
      </c>
      <c r="G55" s="74">
        <f t="shared" si="0"/>
        <v>55</v>
      </c>
      <c r="H55" s="75">
        <f t="shared" si="1"/>
        <v>8.08</v>
      </c>
      <c r="I55" s="75">
        <f>IF($H55="","",MAX(0,ROUND($H55-الإعدادات!$C$24-الإعدادات!$C$27,2)))</f>
        <v>0</v>
      </c>
      <c r="J55" s="76">
        <f>IF(OR($B55="",$G55="",$G55&lt;=0),"",COUNTIFS($B$6:$B55,$B55,$G$6:$G55,"&gt;0"))</f>
        <v>6</v>
      </c>
      <c r="K55" s="75">
        <f>IF($J55="","",INDEX(الجزاءات!$E$6:$H$9,MATCH($G55,الجزاءات!$B$6:$B$9,1),MIN($J55,4)))</f>
        <v>1</v>
      </c>
      <c r="L55" s="45"/>
    </row>
    <row r="56" spans="1:12" ht="15.75" customHeight="1" x14ac:dyDescent="0.35">
      <c r="A56" s="31">
        <v>46243</v>
      </c>
      <c r="B56" s="30" t="s">
        <v>252</v>
      </c>
      <c r="C56" s="72" t="str">
        <f>IF($B56="","",IFERROR(INDEX(الموظفون!$C$6:$C$45,MATCH($B56,الموظفون!$B$6:$B$45,0)),""))</f>
        <v>سارة الشريف عبد الله</v>
      </c>
      <c r="D56" s="73">
        <f>IF($B56="","",IFERROR(INDEX(الموظفون!$M$6:$M$45,MATCH($B56,الموظفون!$B$6:$B$45,0)),""))</f>
        <v>0.33333333333333298</v>
      </c>
      <c r="E56" s="49">
        <v>0.35069444444444398</v>
      </c>
      <c r="F56" s="49">
        <v>0.75</v>
      </c>
      <c r="G56" s="74">
        <f t="shared" si="0"/>
        <v>25</v>
      </c>
      <c r="H56" s="75">
        <f t="shared" si="1"/>
        <v>9.58</v>
      </c>
      <c r="I56" s="75">
        <f>IF($H56="","",MAX(0,ROUND($H56-الإعدادات!$C$24-الإعدادات!$C$27,2)))</f>
        <v>0.57999999999999996</v>
      </c>
      <c r="J56" s="76">
        <f>IF(OR($B56="",$G56="",$G56&lt;=0),"",COUNTIFS($B$6:$B56,$B56,$G$6:$G56,"&gt;0"))</f>
        <v>6</v>
      </c>
      <c r="K56" s="75">
        <f>IF($J56="","",INDEX(الجزاءات!$E$6:$H$9,MATCH($G56,الجزاءات!$B$6:$B$9,1),MIN($J56,4)))</f>
        <v>0.5</v>
      </c>
      <c r="L56" s="45"/>
    </row>
    <row r="57" spans="1:12" ht="15.75" customHeight="1" x14ac:dyDescent="0.35">
      <c r="A57" s="31">
        <v>46243</v>
      </c>
      <c r="B57" s="30" t="s">
        <v>262</v>
      </c>
      <c r="C57" s="72" t="str">
        <f>IF($B57="","",IFERROR(INDEX(الموظفون!$C$6:$C$45,MATCH($B57,الموظفون!$B$6:$B$45,0)),""))</f>
        <v>رانيا الخولي</v>
      </c>
      <c r="D57" s="73">
        <f>IF($B57="","",IFERROR(INDEX(الموظفون!$M$6:$M$45,MATCH($B57,الموظفون!$B$6:$B$45,0)),""))</f>
        <v>0.33333333333333298</v>
      </c>
      <c r="E57" s="49">
        <v>0.33333333333333298</v>
      </c>
      <c r="F57" s="49">
        <v>0.70833333333333304</v>
      </c>
      <c r="G57" s="74">
        <f t="shared" si="0"/>
        <v>0</v>
      </c>
      <c r="H57" s="75">
        <f t="shared" si="1"/>
        <v>9</v>
      </c>
      <c r="I57" s="75">
        <f>IF($H57="","",MAX(0,ROUND($H57-الإعدادات!$C$24-الإعدادات!$C$27,2)))</f>
        <v>0</v>
      </c>
      <c r="J57" s="76" t="str">
        <f>IF(OR($B57="",$G57="",$G57&lt;=0),"",COUNTIFS($B$6:$B57,$B57,$G$6:$G57,"&gt;0"))</f>
        <v/>
      </c>
      <c r="K57" s="75" t="str">
        <f>IF($J57="","",INDEX(الجزاءات!$E$6:$H$9,MATCH($G57,الجزاءات!$B$6:$B$9,1),MIN($J57,4)))</f>
        <v/>
      </c>
      <c r="L57" s="45"/>
    </row>
    <row r="58" spans="1:12" ht="15.75" customHeight="1" x14ac:dyDescent="0.35">
      <c r="A58" s="31">
        <v>46243</v>
      </c>
      <c r="B58" s="30" t="s">
        <v>275</v>
      </c>
      <c r="C58" s="72" t="str">
        <f>IF($B58="","",IFERROR(INDEX(الموظفون!$C$6:$C$45,MATCH($B58,الموظفون!$B$6:$B$45,0)),""))</f>
        <v>إيمان صابر رفعت</v>
      </c>
      <c r="D58" s="73">
        <f>IF($B58="","",IFERROR(INDEX(الموظفون!$M$6:$M$45,MATCH($B58,الموظفون!$B$6:$B$45,0)),""))</f>
        <v>0.35416666666666702</v>
      </c>
      <c r="E58" s="49">
        <v>0.35416666666666702</v>
      </c>
      <c r="F58" s="49">
        <v>0.77083333333333304</v>
      </c>
      <c r="G58" s="74">
        <f t="shared" si="0"/>
        <v>0</v>
      </c>
      <c r="H58" s="75">
        <f t="shared" si="1"/>
        <v>10</v>
      </c>
      <c r="I58" s="75">
        <f>IF($H58="","",MAX(0,ROUND($H58-الإعدادات!$C$24-الإعدادات!$C$27,2)))</f>
        <v>1</v>
      </c>
      <c r="J58" s="76" t="str">
        <f>IF(OR($B58="",$G58="",$G58&lt;=0),"",COUNTIFS($B$6:$B58,$B58,$G$6:$G58,"&gt;0"))</f>
        <v/>
      </c>
      <c r="K58" s="75" t="str">
        <f>IF($J58="","",INDEX(الجزاءات!$E$6:$H$9,MATCH($G58,الجزاءات!$B$6:$B$9,1),MIN($J58,4)))</f>
        <v/>
      </c>
      <c r="L58" s="45"/>
    </row>
    <row r="59" spans="1:12" ht="15.75" customHeight="1" x14ac:dyDescent="0.35">
      <c r="A59" s="31">
        <v>46243</v>
      </c>
      <c r="B59" s="30" t="s">
        <v>279</v>
      </c>
      <c r="C59" s="72" t="str">
        <f>IF($B59="","",IFERROR(INDEX(الموظفون!$C$6:$C$45,MATCH($B59,الموظفون!$B$6:$B$45,0)),""))</f>
        <v>منال المطيري</v>
      </c>
      <c r="D59" s="73">
        <f>IF($B59="","",IFERROR(INDEX(الموظفون!$M$6:$M$45,MATCH($B59,الموظفون!$B$6:$B$45,0)),""))</f>
        <v>0.35416666666666702</v>
      </c>
      <c r="E59" s="49">
        <v>0.35416666666666702</v>
      </c>
      <c r="F59" s="49">
        <v>0.72916666666666696</v>
      </c>
      <c r="G59" s="74">
        <f t="shared" si="0"/>
        <v>0</v>
      </c>
      <c r="H59" s="75">
        <f t="shared" si="1"/>
        <v>9</v>
      </c>
      <c r="I59" s="75">
        <f>IF($H59="","",MAX(0,ROUND($H59-الإعدادات!$C$24-الإعدادات!$C$27,2)))</f>
        <v>0</v>
      </c>
      <c r="J59" s="76" t="str">
        <f>IF(OR($B59="",$G59="",$G59&lt;=0),"",COUNTIFS($B$6:$B59,$B59,$G$6:$G59,"&gt;0"))</f>
        <v/>
      </c>
      <c r="K59" s="75" t="str">
        <f>IF($J59="","",INDEX(الجزاءات!$E$6:$H$9,MATCH($G59,الجزاءات!$B$6:$B$9,1),MIN($J59,4)))</f>
        <v/>
      </c>
      <c r="L59" s="45"/>
    </row>
    <row r="60" spans="1:12" ht="15.75" customHeight="1" x14ac:dyDescent="0.35">
      <c r="A60" s="31">
        <v>46243</v>
      </c>
      <c r="B60" s="30" t="s">
        <v>282</v>
      </c>
      <c r="C60" s="72" t="str">
        <f>IF($B60="","",IFERROR(INDEX(الموظفون!$C$6:$C$45,MATCH($B60,الموظفون!$B$6:$B$45,0)),""))</f>
        <v>دلال البلوي</v>
      </c>
      <c r="D60" s="73">
        <f>IF($B60="","",IFERROR(INDEX(الموظفون!$M$6:$M$45,MATCH($B60,الموظفون!$B$6:$B$45,0)),""))</f>
        <v>0.35416666666666702</v>
      </c>
      <c r="E60" s="49">
        <v>0.39236111111111099</v>
      </c>
      <c r="F60" s="49">
        <v>0.72916666666666696</v>
      </c>
      <c r="G60" s="74">
        <f t="shared" si="0"/>
        <v>55</v>
      </c>
      <c r="H60" s="75">
        <f t="shared" si="1"/>
        <v>8.08</v>
      </c>
      <c r="I60" s="75">
        <f>IF($H60="","",MAX(0,ROUND($H60-الإعدادات!$C$24-الإعدادات!$C$27,2)))</f>
        <v>0</v>
      </c>
      <c r="J60" s="76">
        <f>IF(OR($B60="",$G60="",$G60&lt;=0),"",COUNTIFS($B$6:$B60,$B60,$G$6:$G60,"&gt;0"))</f>
        <v>5</v>
      </c>
      <c r="K60" s="75">
        <f>IF($J60="","",INDEX(الجزاءات!$E$6:$H$9,MATCH($G60,الجزاءات!$B$6:$B$9,1),MIN($J60,4)))</f>
        <v>1</v>
      </c>
      <c r="L60" s="45"/>
    </row>
    <row r="61" spans="1:12" ht="15.75" customHeight="1" x14ac:dyDescent="0.35">
      <c r="A61" s="31">
        <v>46243</v>
      </c>
      <c r="B61" s="30" t="s">
        <v>286</v>
      </c>
      <c r="C61" s="72" t="str">
        <f>IF($B61="","",IFERROR(INDEX(الموظفون!$C$6:$C$45,MATCH($B61,الموظفون!$B$6:$B$45,0)),""))</f>
        <v>مي الفهد</v>
      </c>
      <c r="D61" s="73">
        <f>IF($B61="","",IFERROR(INDEX(الموظفون!$M$6:$M$45,MATCH($B61,الموظفون!$B$6:$B$45,0)),""))</f>
        <v>0.35416666666666702</v>
      </c>
      <c r="E61" s="49">
        <v>0.35416666666666702</v>
      </c>
      <c r="F61" s="49">
        <v>0.72916666666666696</v>
      </c>
      <c r="G61" s="74">
        <f t="shared" si="0"/>
        <v>0</v>
      </c>
      <c r="H61" s="75">
        <f t="shared" si="1"/>
        <v>9</v>
      </c>
      <c r="I61" s="75">
        <f>IF($H61="","",MAX(0,ROUND($H61-الإعدادات!$C$24-الإعدادات!$C$27,2)))</f>
        <v>0</v>
      </c>
      <c r="J61" s="76" t="str">
        <f>IF(OR($B61="",$G61="",$G61&lt;=0),"",COUNTIFS($B$6:$B61,$B61,$G$6:$G61,"&gt;0"))</f>
        <v/>
      </c>
      <c r="K61" s="75" t="str">
        <f>IF($J61="","",INDEX(الجزاءات!$E$6:$H$9,MATCH($G61,الجزاءات!$B$6:$B$9,1),MIN($J61,4)))</f>
        <v/>
      </c>
      <c r="L61" s="45"/>
    </row>
    <row r="62" spans="1:12" ht="15.75" customHeight="1" x14ac:dyDescent="0.35">
      <c r="A62" s="31">
        <v>46244</v>
      </c>
      <c r="B62" s="30" t="s">
        <v>226</v>
      </c>
      <c r="C62" s="72" t="str">
        <f>IF($B62="","",IFERROR(INDEX(الموظفون!$C$6:$C$45,MATCH($B62,الموظفون!$B$6:$B$45,0)),""))</f>
        <v>فيصل العتيبي</v>
      </c>
      <c r="D62" s="73">
        <f>IF($B62="","",IFERROR(INDEX(الموظفون!$M$6:$M$45,MATCH($B62,الموظفون!$B$6:$B$45,0)),""))</f>
        <v>0.33333333333333298</v>
      </c>
      <c r="E62" s="49">
        <v>0.33680555555555602</v>
      </c>
      <c r="F62" s="49">
        <v>0.70833333333333304</v>
      </c>
      <c r="G62" s="74">
        <f t="shared" si="0"/>
        <v>5</v>
      </c>
      <c r="H62" s="75">
        <f t="shared" si="1"/>
        <v>8.92</v>
      </c>
      <c r="I62" s="75">
        <f>IF($H62="","",MAX(0,ROUND($H62-الإعدادات!$C$24-الإعدادات!$C$27,2)))</f>
        <v>0</v>
      </c>
      <c r="J62" s="76">
        <f>IF(OR($B62="",$G62="",$G62&lt;=0),"",COUNTIFS($B$6:$B62,$B62,$G$6:$G62,"&gt;0"))</f>
        <v>2</v>
      </c>
      <c r="K62" s="75">
        <f>IF($J62="","",INDEX(الجزاءات!$E$6:$H$9,MATCH($G62,الجزاءات!$B$6:$B$9,1),MIN($J62,4)))</f>
        <v>0.05</v>
      </c>
      <c r="L62" s="45"/>
    </row>
    <row r="63" spans="1:12" ht="15.75" customHeight="1" x14ac:dyDescent="0.35">
      <c r="A63" s="31">
        <v>46244</v>
      </c>
      <c r="B63" s="30" t="s">
        <v>228</v>
      </c>
      <c r="C63" s="72" t="str">
        <f>IF($B63="","",IFERROR(INDEX(الموظفون!$C$6:$C$45,MATCH($B63,الموظفون!$B$6:$B$45,0)),""))</f>
        <v>يوسف إبراهيم فؤاد</v>
      </c>
      <c r="D63" s="73">
        <f>IF($B63="","",IFERROR(INDEX(الموظفون!$M$6:$M$45,MATCH($B63,الموظفون!$B$6:$B$45,0)),""))</f>
        <v>0.33333333333333298</v>
      </c>
      <c r="E63" s="49">
        <v>0.35069444444444398</v>
      </c>
      <c r="F63" s="49">
        <v>0.70833333333333304</v>
      </c>
      <c r="G63" s="74">
        <f t="shared" si="0"/>
        <v>25</v>
      </c>
      <c r="H63" s="75">
        <f t="shared" si="1"/>
        <v>8.58</v>
      </c>
      <c r="I63" s="75">
        <f>IF($H63="","",MAX(0,ROUND($H63-الإعدادات!$C$24-الإعدادات!$C$27,2)))</f>
        <v>0</v>
      </c>
      <c r="J63" s="76">
        <f>IF(OR($B63="",$G63="",$G63&lt;=0),"",COUNTIFS($B$6:$B63,$B63,$G$6:$G63,"&gt;0"))</f>
        <v>7</v>
      </c>
      <c r="K63" s="75">
        <f>IF($J63="","",INDEX(الجزاءات!$E$6:$H$9,MATCH($G63,الجزاءات!$B$6:$B$9,1),MIN($J63,4)))</f>
        <v>0.5</v>
      </c>
      <c r="L63" s="45"/>
    </row>
    <row r="64" spans="1:12" ht="15.75" customHeight="1" x14ac:dyDescent="0.35">
      <c r="A64" s="31">
        <v>46244</v>
      </c>
      <c r="B64" s="30" t="s">
        <v>234</v>
      </c>
      <c r="C64" s="72" t="str">
        <f>IF($B64="","",IFERROR(INDEX(الموظفون!$C$6:$C$45,MATCH($B64,الموظفون!$B$6:$B$45,0)),""))</f>
        <v>كريم سعيد الخولي</v>
      </c>
      <c r="D64" s="73">
        <f>IF($B64="","",IFERROR(INDEX(الموظفون!$M$6:$M$45,MATCH($B64,الموظفون!$B$6:$B$45,0)),""))</f>
        <v>0.33333333333333298</v>
      </c>
      <c r="E64" s="49">
        <v>0.33333333333333298</v>
      </c>
      <c r="F64" s="49">
        <v>0.70833333333333304</v>
      </c>
      <c r="G64" s="74">
        <f t="shared" si="0"/>
        <v>0</v>
      </c>
      <c r="H64" s="75">
        <f t="shared" si="1"/>
        <v>9</v>
      </c>
      <c r="I64" s="75">
        <f>IF($H64="","",MAX(0,ROUND($H64-الإعدادات!$C$24-الإعدادات!$C$27,2)))</f>
        <v>0</v>
      </c>
      <c r="J64" s="76" t="str">
        <f>IF(OR($B64="",$G64="",$G64&lt;=0),"",COUNTIFS($B$6:$B64,$B64,$G$6:$G64,"&gt;0"))</f>
        <v/>
      </c>
      <c r="K64" s="75" t="str">
        <f>IF($J64="","",INDEX(الجزاءات!$E$6:$H$9,MATCH($G64,الجزاءات!$B$6:$B$9,1),MIN($J64,4)))</f>
        <v/>
      </c>
      <c r="L64" s="45"/>
    </row>
    <row r="65" spans="1:12" ht="15.75" customHeight="1" x14ac:dyDescent="0.35">
      <c r="A65" s="31">
        <v>46244</v>
      </c>
      <c r="B65" s="30" t="s">
        <v>252</v>
      </c>
      <c r="C65" s="72" t="str">
        <f>IF($B65="","",IFERROR(INDEX(الموظفون!$C$6:$C$45,MATCH($B65,الموظفون!$B$6:$B$45,0)),""))</f>
        <v>سارة الشريف عبد الله</v>
      </c>
      <c r="D65" s="73">
        <f>IF($B65="","",IFERROR(INDEX(الموظفون!$M$6:$M$45,MATCH($B65,الموظفون!$B$6:$B$45,0)),""))</f>
        <v>0.33333333333333298</v>
      </c>
      <c r="E65" s="49">
        <v>0.33333333333333298</v>
      </c>
      <c r="F65" s="49">
        <v>0.70833333333333304</v>
      </c>
      <c r="G65" s="74">
        <f t="shared" si="0"/>
        <v>0</v>
      </c>
      <c r="H65" s="75">
        <f t="shared" si="1"/>
        <v>9</v>
      </c>
      <c r="I65" s="75">
        <f>IF($H65="","",MAX(0,ROUND($H65-الإعدادات!$C$24-الإعدادات!$C$27,2)))</f>
        <v>0</v>
      </c>
      <c r="J65" s="76" t="str">
        <f>IF(OR($B65="",$G65="",$G65&lt;=0),"",COUNTIFS($B$6:$B65,$B65,$G$6:$G65,"&gt;0"))</f>
        <v/>
      </c>
      <c r="K65" s="75" t="str">
        <f>IF($J65="","",INDEX(الجزاءات!$E$6:$H$9,MATCH($G65,الجزاءات!$B$6:$B$9,1),MIN($J65,4)))</f>
        <v/>
      </c>
      <c r="L65" s="45"/>
    </row>
    <row r="66" spans="1:12" ht="15.75" customHeight="1" x14ac:dyDescent="0.35">
      <c r="A66" s="31">
        <v>46244</v>
      </c>
      <c r="B66" s="30" t="s">
        <v>260</v>
      </c>
      <c r="C66" s="72" t="str">
        <f>IF($B66="","",IFERROR(INDEX(الموظفون!$C$6:$C$45,MATCH($B66,الموظفون!$B$6:$B$45,0)),""))</f>
        <v>هيا الغانم</v>
      </c>
      <c r="D66" s="73">
        <f>IF($B66="","",IFERROR(INDEX(الموظفون!$M$6:$M$45,MATCH($B66,الموظفون!$B$6:$B$45,0)),""))</f>
        <v>0.33333333333333298</v>
      </c>
      <c r="E66" s="49">
        <v>0.34722222222222199</v>
      </c>
      <c r="F66" s="49">
        <v>0.70833333333333304</v>
      </c>
      <c r="G66" s="74">
        <f t="shared" si="0"/>
        <v>20</v>
      </c>
      <c r="H66" s="75">
        <f t="shared" si="1"/>
        <v>8.67</v>
      </c>
      <c r="I66" s="75">
        <f>IF($H66="","",MAX(0,ROUND($H66-الإعدادات!$C$24-الإعدادات!$C$27,2)))</f>
        <v>0</v>
      </c>
      <c r="J66" s="76">
        <f>IF(OR($B66="",$G66="",$G66&lt;=0),"",COUNTIFS($B$6:$B66,$B66,$G$6:$G66,"&gt;0"))</f>
        <v>2</v>
      </c>
      <c r="K66" s="75">
        <f>IF($J66="","",INDEX(الجزاءات!$E$6:$H$9,MATCH($G66,الجزاءات!$B$6:$B$9,1),MIN($J66,4)))</f>
        <v>0.15</v>
      </c>
      <c r="L66" s="45"/>
    </row>
    <row r="67" spans="1:12" ht="15.75" customHeight="1" x14ac:dyDescent="0.35">
      <c r="A67" s="31">
        <v>46244</v>
      </c>
      <c r="B67" s="30" t="s">
        <v>266</v>
      </c>
      <c r="C67" s="72" t="str">
        <f>IF($B67="","",IFERROR(INDEX(الموظفون!$C$6:$C$45,MATCH($B67,الموظفون!$B$6:$B$45,0)),""))</f>
        <v>مصطفى فهمي عبد الجواد</v>
      </c>
      <c r="D67" s="73">
        <f>IF($B67="","",IFERROR(INDEX(الموظفون!$M$6:$M$45,MATCH($B67,الموظفون!$B$6:$B$45,0)),""))</f>
        <v>0.33333333333333298</v>
      </c>
      <c r="E67" s="49">
        <v>0.33333333333333298</v>
      </c>
      <c r="F67" s="49">
        <v>0.70833333333333304</v>
      </c>
      <c r="G67" s="74">
        <f t="shared" si="0"/>
        <v>0</v>
      </c>
      <c r="H67" s="75">
        <f t="shared" si="1"/>
        <v>9</v>
      </c>
      <c r="I67" s="75">
        <f>IF($H67="","",MAX(0,ROUND($H67-الإعدادات!$C$24-الإعدادات!$C$27,2)))</f>
        <v>0</v>
      </c>
      <c r="J67" s="76" t="str">
        <f>IF(OR($B67="",$G67="",$G67&lt;=0),"",COUNTIFS($B$6:$B67,$B67,$G$6:$G67,"&gt;0"))</f>
        <v/>
      </c>
      <c r="K67" s="75" t="str">
        <f>IF($J67="","",INDEX(الجزاءات!$E$6:$H$9,MATCH($G67,الجزاءات!$B$6:$B$9,1),MIN($J67,4)))</f>
        <v/>
      </c>
      <c r="L67" s="45"/>
    </row>
    <row r="68" spans="1:12" ht="15.75" customHeight="1" x14ac:dyDescent="0.35">
      <c r="A68" s="31">
        <v>46244</v>
      </c>
      <c r="B68" s="30" t="s">
        <v>269</v>
      </c>
      <c r="C68" s="72" t="str">
        <f>IF($B68="","",IFERROR(INDEX(الموظفون!$C$6:$C$45,MATCH($B68,الموظفون!$B$6:$B$45,0)),""))</f>
        <v>تركي العنزي</v>
      </c>
      <c r="D68" s="73">
        <f>IF($B68="","",IFERROR(INDEX(الموظفون!$M$6:$M$45,MATCH($B68,الموظفون!$B$6:$B$45,0)),""))</f>
        <v>0.33333333333333298</v>
      </c>
      <c r="E68" s="49">
        <v>0.33680555555555602</v>
      </c>
      <c r="F68" s="49">
        <v>0.70833333333333304</v>
      </c>
      <c r="G68" s="74">
        <f t="shared" si="0"/>
        <v>5</v>
      </c>
      <c r="H68" s="75">
        <f t="shared" si="1"/>
        <v>8.92</v>
      </c>
      <c r="I68" s="75">
        <f>IF($H68="","",MAX(0,ROUND($H68-الإعدادات!$C$24-الإعدادات!$C$27,2)))</f>
        <v>0</v>
      </c>
      <c r="J68" s="76">
        <f>IF(OR($B68="",$G68="",$G68&lt;=0),"",COUNTIFS($B$6:$B68,$B68,$G$6:$G68,"&gt;0"))</f>
        <v>2</v>
      </c>
      <c r="K68" s="75">
        <f>IF($J68="","",INDEX(الجزاءات!$E$6:$H$9,MATCH($G68,الجزاءات!$B$6:$B$9,1),MIN($J68,4)))</f>
        <v>0.05</v>
      </c>
      <c r="L68" s="45"/>
    </row>
    <row r="69" spans="1:12" ht="15.75" customHeight="1" x14ac:dyDescent="0.35">
      <c r="A69" s="31">
        <v>46244</v>
      </c>
      <c r="B69" s="30" t="s">
        <v>282</v>
      </c>
      <c r="C69" s="72" t="str">
        <f>IF($B69="","",IFERROR(INDEX(الموظفون!$C$6:$C$45,MATCH($B69,الموظفون!$B$6:$B$45,0)),""))</f>
        <v>دلال البلوي</v>
      </c>
      <c r="D69" s="73">
        <f>IF($B69="","",IFERROR(INDEX(الموظفون!$M$6:$M$45,MATCH($B69,الموظفون!$B$6:$B$45,0)),""))</f>
        <v>0.35416666666666702</v>
      </c>
      <c r="E69" s="49">
        <v>0.37152777777777801</v>
      </c>
      <c r="F69" s="49">
        <v>0.72916666666666696</v>
      </c>
      <c r="G69" s="74">
        <f t="shared" si="0"/>
        <v>25</v>
      </c>
      <c r="H69" s="75">
        <f t="shared" si="1"/>
        <v>8.58</v>
      </c>
      <c r="I69" s="75">
        <f>IF($H69="","",MAX(0,ROUND($H69-الإعدادات!$C$24-الإعدادات!$C$27,2)))</f>
        <v>0</v>
      </c>
      <c r="J69" s="76">
        <f>IF(OR($B69="",$G69="",$G69&lt;=0),"",COUNTIFS($B$6:$B69,$B69,$G$6:$G69,"&gt;0"))</f>
        <v>6</v>
      </c>
      <c r="K69" s="75">
        <f>IF($J69="","",INDEX(الجزاءات!$E$6:$H$9,MATCH($G69,الجزاءات!$B$6:$B$9,1),MIN($J69,4)))</f>
        <v>0.5</v>
      </c>
      <c r="L69" s="45"/>
    </row>
    <row r="70" spans="1:12" ht="15.75" customHeight="1" x14ac:dyDescent="0.35">
      <c r="A70" s="31">
        <v>46244</v>
      </c>
      <c r="B70" s="30" t="s">
        <v>284</v>
      </c>
      <c r="C70" s="72" t="str">
        <f>IF($B70="","",IFERROR(INDEX(الموظفون!$C$6:$C$45,MATCH($B70,الموظفون!$B$6:$B$45,0)),""))</f>
        <v>نادية عبد الحميد</v>
      </c>
      <c r="D70" s="73">
        <f>IF($B70="","",IFERROR(INDEX(الموظفون!$M$6:$M$45,MATCH($B70,الموظفون!$B$6:$B$45,0)),""))</f>
        <v>0.35416666666666702</v>
      </c>
      <c r="E70" s="49">
        <v>0.35416666666666702</v>
      </c>
      <c r="F70" s="49">
        <v>0.72916666666666696</v>
      </c>
      <c r="G70" s="74">
        <f t="shared" ref="G70:G133" si="2">IF(OR($B70="",$E70="",$D70=""),"",MAX(0,ROUND(($E70-$D70)*1440,0)))</f>
        <v>0</v>
      </c>
      <c r="H70" s="75">
        <f t="shared" ref="H70:H133" si="3">IF(OR($E70="",$F70=""),"",ROUND(($F70-$E70)*24,2))</f>
        <v>9</v>
      </c>
      <c r="I70" s="75">
        <f>IF($H70="","",MAX(0,ROUND($H70-الإعدادات!$C$24-الإعدادات!$C$27,2)))</f>
        <v>0</v>
      </c>
      <c r="J70" s="76" t="str">
        <f>IF(OR($B70="",$G70="",$G70&lt;=0),"",COUNTIFS($B$6:$B70,$B70,$G$6:$G70,"&gt;0"))</f>
        <v/>
      </c>
      <c r="K70" s="75" t="str">
        <f>IF($J70="","",INDEX(الجزاءات!$E$6:$H$9,MATCH($G70,الجزاءات!$B$6:$B$9,1),MIN($J70,4)))</f>
        <v/>
      </c>
      <c r="L70" s="45"/>
    </row>
    <row r="71" spans="1:12" ht="15.75" customHeight="1" x14ac:dyDescent="0.35">
      <c r="A71" s="31">
        <v>46245</v>
      </c>
      <c r="B71" s="30" t="s">
        <v>228</v>
      </c>
      <c r="C71" s="72" t="str">
        <f>IF($B71="","",IFERROR(INDEX(الموظفون!$C$6:$C$45,MATCH($B71,الموظفون!$B$6:$B$45,0)),""))</f>
        <v>يوسف إبراهيم فؤاد</v>
      </c>
      <c r="D71" s="73">
        <f>IF($B71="","",IFERROR(INDEX(الموظفون!$M$6:$M$45,MATCH($B71,الموظفون!$B$6:$B$45,0)),""))</f>
        <v>0.33333333333333298</v>
      </c>
      <c r="E71" s="49">
        <v>0.34027777777777801</v>
      </c>
      <c r="F71" s="49">
        <v>0.70833333333333304</v>
      </c>
      <c r="G71" s="74">
        <f t="shared" si="2"/>
        <v>10</v>
      </c>
      <c r="H71" s="75">
        <f t="shared" si="3"/>
        <v>8.83</v>
      </c>
      <c r="I71" s="75">
        <f>IF($H71="","",MAX(0,ROUND($H71-الإعدادات!$C$24-الإعدادات!$C$27,2)))</f>
        <v>0</v>
      </c>
      <c r="J71" s="76">
        <f>IF(OR($B71="",$G71="",$G71&lt;=0),"",COUNTIFS($B$6:$B71,$B71,$G$6:$G71,"&gt;0"))</f>
        <v>8</v>
      </c>
      <c r="K71" s="75">
        <f>IF($J71="","",INDEX(الجزاءات!$E$6:$H$9,MATCH($G71,الجزاءات!$B$6:$B$9,1),MIN($J71,4)))</f>
        <v>0.2</v>
      </c>
      <c r="L71" s="45"/>
    </row>
    <row r="72" spans="1:12" ht="15.75" customHeight="1" x14ac:dyDescent="0.35">
      <c r="A72" s="31">
        <v>46245</v>
      </c>
      <c r="B72" s="30" t="s">
        <v>232</v>
      </c>
      <c r="C72" s="72" t="str">
        <f>IF($B72="","",IFERROR(INDEX(الموظفون!$C$6:$C$45,MATCH($B72,الموظفون!$B$6:$B$45,0)),""))</f>
        <v>سلطان الحربي</v>
      </c>
      <c r="D72" s="73">
        <f>IF($B72="","",IFERROR(INDEX(الموظفون!$M$6:$M$45,MATCH($B72,الموظفون!$B$6:$B$45,0)),""))</f>
        <v>0.33333333333333298</v>
      </c>
      <c r="E72" s="49">
        <v>0.36805555555555602</v>
      </c>
      <c r="F72" s="49">
        <v>0.70833333333333304</v>
      </c>
      <c r="G72" s="74">
        <f t="shared" si="2"/>
        <v>50</v>
      </c>
      <c r="H72" s="75">
        <f t="shared" si="3"/>
        <v>8.17</v>
      </c>
      <c r="I72" s="75">
        <f>IF($H72="","",MAX(0,ROUND($H72-الإعدادات!$C$24-الإعدادات!$C$27,2)))</f>
        <v>0</v>
      </c>
      <c r="J72" s="76">
        <f>IF(OR($B72="",$G72="",$G72&lt;=0),"",COUNTIFS($B$6:$B72,$B72,$G$6:$G72,"&gt;0"))</f>
        <v>1</v>
      </c>
      <c r="K72" s="75">
        <f>IF($J72="","",INDEX(الجزاءات!$E$6:$H$9,MATCH($G72,الجزاءات!$B$6:$B$9,1),MIN($J72,4)))</f>
        <v>0.25</v>
      </c>
      <c r="L72" s="45"/>
    </row>
    <row r="73" spans="1:12" ht="15.75" customHeight="1" x14ac:dyDescent="0.35">
      <c r="A73" s="31">
        <v>46245</v>
      </c>
      <c r="B73" s="30" t="s">
        <v>243</v>
      </c>
      <c r="C73" s="72" t="str">
        <f>IF($B73="","",IFERROR(INDEX(الموظفون!$C$6:$C$45,MATCH($B73,الموظفون!$B$6:$B$45,0)),""))</f>
        <v>هبة رمضان عبد الحميد</v>
      </c>
      <c r="D73" s="73">
        <f>IF($B73="","",IFERROR(INDEX(الموظفون!$M$6:$M$45,MATCH($B73,الموظفون!$B$6:$B$45,0)),""))</f>
        <v>0.29166666666666702</v>
      </c>
      <c r="E73" s="49">
        <v>0.29166666666666702</v>
      </c>
      <c r="F73" s="49">
        <v>0.66666666666666696</v>
      </c>
      <c r="G73" s="74">
        <f t="shared" si="2"/>
        <v>0</v>
      </c>
      <c r="H73" s="75">
        <f t="shared" si="3"/>
        <v>9</v>
      </c>
      <c r="I73" s="75">
        <f>IF($H73="","",MAX(0,ROUND($H73-الإعدادات!$C$24-الإعدادات!$C$27,2)))</f>
        <v>0</v>
      </c>
      <c r="J73" s="76" t="str">
        <f>IF(OR($B73="",$G73="",$G73&lt;=0),"",COUNTIFS($B$6:$B73,$B73,$G$6:$G73,"&gt;0"))</f>
        <v/>
      </c>
      <c r="K73" s="75" t="str">
        <f>IF($J73="","",INDEX(الجزاءات!$E$6:$H$9,MATCH($G73,الجزاءات!$B$6:$B$9,1),MIN($J73,4)))</f>
        <v/>
      </c>
      <c r="L73" s="45"/>
    </row>
    <row r="74" spans="1:12" ht="15.75" customHeight="1" x14ac:dyDescent="0.35">
      <c r="A74" s="31">
        <v>46245</v>
      </c>
      <c r="B74" s="30" t="s">
        <v>252</v>
      </c>
      <c r="C74" s="72" t="str">
        <f>IF($B74="","",IFERROR(INDEX(الموظفون!$C$6:$C$45,MATCH($B74,الموظفون!$B$6:$B$45,0)),""))</f>
        <v>سارة الشريف عبد الله</v>
      </c>
      <c r="D74" s="73">
        <f>IF($B74="","",IFERROR(INDEX(الموظفون!$M$6:$M$45,MATCH($B74,الموظفون!$B$6:$B$45,0)),""))</f>
        <v>0.33333333333333298</v>
      </c>
      <c r="E74" s="49">
        <v>0.34583333333333299</v>
      </c>
      <c r="F74" s="49">
        <v>0.70833333333333304</v>
      </c>
      <c r="G74" s="74">
        <f t="shared" si="2"/>
        <v>18</v>
      </c>
      <c r="H74" s="75">
        <f t="shared" si="3"/>
        <v>8.6999999999999993</v>
      </c>
      <c r="I74" s="75">
        <f>IF($H74="","",MAX(0,ROUND($H74-الإعدادات!$C$24-الإعدادات!$C$27,2)))</f>
        <v>0</v>
      </c>
      <c r="J74" s="76">
        <f>IF(OR($B74="",$G74="",$G74&lt;=0),"",COUNTIFS($B$6:$B74,$B74,$G$6:$G74,"&gt;0"))</f>
        <v>7</v>
      </c>
      <c r="K74" s="75">
        <f>IF($J74="","",INDEX(الجزاءات!$E$6:$H$9,MATCH($G74,الجزاءات!$B$6:$B$9,1),MIN($J74,4)))</f>
        <v>0.5</v>
      </c>
      <c r="L74" s="45"/>
    </row>
    <row r="75" spans="1:12" ht="15.75" customHeight="1" x14ac:dyDescent="0.35">
      <c r="A75" s="31">
        <v>46245</v>
      </c>
      <c r="B75" s="30" t="s">
        <v>256</v>
      </c>
      <c r="C75" s="72" t="str">
        <f>IF($B75="","",IFERROR(INDEX(الموظفون!$C$6:$C$45,MATCH($B75,الموظفون!$B$6:$B$45,0)),""))</f>
        <v>منى الغزالي</v>
      </c>
      <c r="D75" s="73">
        <f>IF($B75="","",IFERROR(INDEX(الموظفون!$M$6:$M$45,MATCH($B75,الموظفون!$B$6:$B$45,0)),""))</f>
        <v>0.33333333333333298</v>
      </c>
      <c r="E75" s="49">
        <v>0.33333333333333298</v>
      </c>
      <c r="F75" s="49">
        <v>0.70833333333333304</v>
      </c>
      <c r="G75" s="74">
        <f t="shared" si="2"/>
        <v>0</v>
      </c>
      <c r="H75" s="75">
        <f t="shared" si="3"/>
        <v>9</v>
      </c>
      <c r="I75" s="75">
        <f>IF($H75="","",MAX(0,ROUND($H75-الإعدادات!$C$24-الإعدادات!$C$27,2)))</f>
        <v>0</v>
      </c>
      <c r="J75" s="76" t="str">
        <f>IF(OR($B75="",$G75="",$G75&lt;=0),"",COUNTIFS($B$6:$B75,$B75,$G$6:$G75,"&gt;0"))</f>
        <v/>
      </c>
      <c r="K75" s="75" t="str">
        <f>IF($J75="","",INDEX(الجزاءات!$E$6:$H$9,MATCH($G75,الجزاءات!$B$6:$B$9,1),MIN($J75,4)))</f>
        <v/>
      </c>
      <c r="L75" s="45"/>
    </row>
    <row r="76" spans="1:12" ht="15.75" customHeight="1" x14ac:dyDescent="0.35">
      <c r="A76" s="31">
        <v>46245</v>
      </c>
      <c r="B76" s="30" t="s">
        <v>269</v>
      </c>
      <c r="C76" s="72" t="str">
        <f>IF($B76="","",IFERROR(INDEX(الموظفون!$C$6:$C$45,MATCH($B76,الموظفون!$B$6:$B$45,0)),""))</f>
        <v>تركي العنزي</v>
      </c>
      <c r="D76" s="73">
        <f>IF($B76="","",IFERROR(INDEX(الموظفون!$M$6:$M$45,MATCH($B76,الموظفون!$B$6:$B$45,0)),""))</f>
        <v>0.33333333333333298</v>
      </c>
      <c r="E76" s="49">
        <v>0.34722222222222199</v>
      </c>
      <c r="F76" s="49">
        <v>0.70833333333333304</v>
      </c>
      <c r="G76" s="74">
        <f t="shared" si="2"/>
        <v>20</v>
      </c>
      <c r="H76" s="75">
        <f t="shared" si="3"/>
        <v>8.67</v>
      </c>
      <c r="I76" s="75">
        <f>IF($H76="","",MAX(0,ROUND($H76-الإعدادات!$C$24-الإعدادات!$C$27,2)))</f>
        <v>0</v>
      </c>
      <c r="J76" s="76">
        <f>IF(OR($B76="",$G76="",$G76&lt;=0),"",COUNTIFS($B$6:$B76,$B76,$G$6:$G76,"&gt;0"))</f>
        <v>3</v>
      </c>
      <c r="K76" s="75">
        <f>IF($J76="","",INDEX(الجزاءات!$E$6:$H$9,MATCH($G76,الجزاءات!$B$6:$B$9,1),MIN($J76,4)))</f>
        <v>0.25</v>
      </c>
      <c r="L76" s="45"/>
    </row>
    <row r="77" spans="1:12" ht="15.75" customHeight="1" x14ac:dyDescent="0.35">
      <c r="A77" s="31">
        <v>46245</v>
      </c>
      <c r="B77" s="30" t="s">
        <v>270</v>
      </c>
      <c r="C77" s="72" t="str">
        <f>IF($B77="","",IFERROR(INDEX(الموظفون!$C$6:$C$45,MATCH($B77,الموظفون!$B$6:$B$45,0)),""))</f>
        <v>تامر النجار</v>
      </c>
      <c r="D77" s="73">
        <f>IF($B77="","",IFERROR(INDEX(الموظفون!$M$6:$M$45,MATCH($B77,الموظفون!$B$6:$B$45,0)),""))</f>
        <v>0.33333333333333298</v>
      </c>
      <c r="E77" s="49">
        <v>0.33333333333333298</v>
      </c>
      <c r="F77" s="49">
        <v>0.70833333333333304</v>
      </c>
      <c r="G77" s="74">
        <f t="shared" si="2"/>
        <v>0</v>
      </c>
      <c r="H77" s="75">
        <f t="shared" si="3"/>
        <v>9</v>
      </c>
      <c r="I77" s="75">
        <f>IF($H77="","",MAX(0,ROUND($H77-الإعدادات!$C$24-الإعدادات!$C$27,2)))</f>
        <v>0</v>
      </c>
      <c r="J77" s="76" t="str">
        <f>IF(OR($B77="",$G77="",$G77&lt;=0),"",COUNTIFS($B$6:$B77,$B77,$G$6:$G77,"&gt;0"))</f>
        <v/>
      </c>
      <c r="K77" s="75" t="str">
        <f>IF($J77="","",INDEX(الجزاءات!$E$6:$H$9,MATCH($G77,الجزاءات!$B$6:$B$9,1),MIN($J77,4)))</f>
        <v/>
      </c>
      <c r="L77" s="45"/>
    </row>
    <row r="78" spans="1:12" ht="15.75" customHeight="1" x14ac:dyDescent="0.35">
      <c r="A78" s="31">
        <v>46245</v>
      </c>
      <c r="B78" s="30" t="s">
        <v>279</v>
      </c>
      <c r="C78" s="72" t="str">
        <f>IF($B78="","",IFERROR(INDEX(الموظفون!$C$6:$C$45,MATCH($B78,الموظفون!$B$6:$B$45,0)),""))</f>
        <v>منال المطيري</v>
      </c>
      <c r="D78" s="73">
        <f>IF($B78="","",IFERROR(INDEX(الموظفون!$M$6:$M$45,MATCH($B78,الموظفون!$B$6:$B$45,0)),""))</f>
        <v>0.35416666666666702</v>
      </c>
      <c r="E78" s="49">
        <v>0.35416666666666702</v>
      </c>
      <c r="F78" s="49">
        <v>0.77083333333333304</v>
      </c>
      <c r="G78" s="74">
        <f t="shared" si="2"/>
        <v>0</v>
      </c>
      <c r="H78" s="75">
        <f t="shared" si="3"/>
        <v>10</v>
      </c>
      <c r="I78" s="75">
        <f>IF($H78="","",MAX(0,ROUND($H78-الإعدادات!$C$24-الإعدادات!$C$27,2)))</f>
        <v>1</v>
      </c>
      <c r="J78" s="76" t="str">
        <f>IF(OR($B78="",$G78="",$G78&lt;=0),"",COUNTIFS($B$6:$B78,$B78,$G$6:$G78,"&gt;0"))</f>
        <v/>
      </c>
      <c r="K78" s="75" t="str">
        <f>IF($J78="","",INDEX(الجزاءات!$E$6:$H$9,MATCH($G78,الجزاءات!$B$6:$B$9,1),MIN($J78,4)))</f>
        <v/>
      </c>
      <c r="L78" s="45"/>
    </row>
    <row r="79" spans="1:12" ht="15.75" customHeight="1" x14ac:dyDescent="0.35">
      <c r="A79" s="31">
        <v>46245</v>
      </c>
      <c r="B79" s="30" t="s">
        <v>282</v>
      </c>
      <c r="C79" s="72" t="str">
        <f>IF($B79="","",IFERROR(INDEX(الموظفون!$C$6:$C$45,MATCH($B79,الموظفون!$B$6:$B$45,0)),""))</f>
        <v>دلال البلوي</v>
      </c>
      <c r="D79" s="73">
        <f>IF($B79="","",IFERROR(INDEX(الموظفون!$M$6:$M$45,MATCH($B79,الموظفون!$B$6:$B$45,0)),""))</f>
        <v>0.35416666666666702</v>
      </c>
      <c r="E79" s="49">
        <v>0.40972222222222199</v>
      </c>
      <c r="F79" s="49">
        <v>0.72916666666666696</v>
      </c>
      <c r="G79" s="74">
        <f t="shared" si="2"/>
        <v>80</v>
      </c>
      <c r="H79" s="75">
        <f t="shared" si="3"/>
        <v>7.67</v>
      </c>
      <c r="I79" s="75">
        <f>IF($H79="","",MAX(0,ROUND($H79-الإعدادات!$C$24-الإعدادات!$C$27,2)))</f>
        <v>0</v>
      </c>
      <c r="J79" s="76">
        <f>IF(OR($B79="",$G79="",$G79&lt;=0),"",COUNTIFS($B$6:$B79,$B79,$G$6:$G79,"&gt;0"))</f>
        <v>7</v>
      </c>
      <c r="K79" s="75">
        <f>IF($J79="","",INDEX(الجزاءات!$E$6:$H$9,MATCH($G79,الجزاءات!$B$6:$B$9,1),MIN($J79,4)))</f>
        <v>3</v>
      </c>
      <c r="L79" s="45"/>
    </row>
    <row r="80" spans="1:12" ht="15.75" customHeight="1" x14ac:dyDescent="0.35">
      <c r="A80" s="31">
        <v>46245</v>
      </c>
      <c r="B80" s="30" t="s">
        <v>284</v>
      </c>
      <c r="C80" s="72" t="str">
        <f>IF($B80="","",IFERROR(INDEX(الموظفون!$C$6:$C$45,MATCH($B80,الموظفون!$B$6:$B$45,0)),""))</f>
        <v>نادية عبد الحميد</v>
      </c>
      <c r="D80" s="73">
        <f>IF($B80="","",IFERROR(INDEX(الموظفون!$M$6:$M$45,MATCH($B80,الموظفون!$B$6:$B$45,0)),""))</f>
        <v>0.35416666666666702</v>
      </c>
      <c r="E80" s="49">
        <v>0.35416666666666702</v>
      </c>
      <c r="F80" s="49">
        <v>0.8125</v>
      </c>
      <c r="G80" s="74">
        <f t="shared" si="2"/>
        <v>0</v>
      </c>
      <c r="H80" s="75">
        <f t="shared" si="3"/>
        <v>11</v>
      </c>
      <c r="I80" s="75">
        <f>IF($H80="","",MAX(0,ROUND($H80-الإعدادات!$C$24-الإعدادات!$C$27,2)))</f>
        <v>2</v>
      </c>
      <c r="J80" s="76" t="str">
        <f>IF(OR($B80="",$G80="",$G80&lt;=0),"",COUNTIFS($B$6:$B80,$B80,$G$6:$G80,"&gt;0"))</f>
        <v/>
      </c>
      <c r="K80" s="75" t="str">
        <f>IF($J80="","",INDEX(الجزاءات!$E$6:$H$9,MATCH($G80,الجزاءات!$B$6:$B$9,1),MIN($J80,4)))</f>
        <v/>
      </c>
      <c r="L80" s="45"/>
    </row>
    <row r="81" spans="1:12" ht="15.75" customHeight="1" x14ac:dyDescent="0.35">
      <c r="A81" s="31">
        <v>46245</v>
      </c>
      <c r="B81" s="30" t="s">
        <v>286</v>
      </c>
      <c r="C81" s="72" t="str">
        <f>IF($B81="","",IFERROR(INDEX(الموظفون!$C$6:$C$45,MATCH($B81,الموظفون!$B$6:$B$45,0)),""))</f>
        <v>مي الفهد</v>
      </c>
      <c r="D81" s="73">
        <f>IF($B81="","",IFERROR(INDEX(الموظفون!$M$6:$M$45,MATCH($B81,الموظفون!$B$6:$B$45,0)),""))</f>
        <v>0.35416666666666702</v>
      </c>
      <c r="E81" s="49">
        <v>0.36249999999999999</v>
      </c>
      <c r="F81" s="49">
        <v>0.77083333333333304</v>
      </c>
      <c r="G81" s="74">
        <f t="shared" si="2"/>
        <v>12</v>
      </c>
      <c r="H81" s="75">
        <f t="shared" si="3"/>
        <v>9.8000000000000007</v>
      </c>
      <c r="I81" s="75">
        <f>IF($H81="","",MAX(0,ROUND($H81-الإعدادات!$C$24-الإعدادات!$C$27,2)))</f>
        <v>0.8</v>
      </c>
      <c r="J81" s="76">
        <f>IF(OR($B81="",$G81="",$G81&lt;=0),"",COUNTIFS($B$6:$B81,$B81,$G$6:$G81,"&gt;0"))</f>
        <v>1</v>
      </c>
      <c r="K81" s="75">
        <f>IF($J81="","",INDEX(الجزاءات!$E$6:$H$9,MATCH($G81,الجزاءات!$B$6:$B$9,1),MIN($J81,4)))</f>
        <v>0</v>
      </c>
      <c r="L81" s="45"/>
    </row>
    <row r="82" spans="1:12" ht="15.75" customHeight="1" x14ac:dyDescent="0.35">
      <c r="A82" s="31">
        <v>46246</v>
      </c>
      <c r="B82" s="30" t="s">
        <v>226</v>
      </c>
      <c r="C82" s="72" t="str">
        <f>IF($B82="","",IFERROR(INDEX(الموظفون!$C$6:$C$45,MATCH($B82,الموظفون!$B$6:$B$45,0)),""))</f>
        <v>فيصل العتيبي</v>
      </c>
      <c r="D82" s="73">
        <f>IF($B82="","",IFERROR(INDEX(الموظفون!$M$6:$M$45,MATCH($B82,الموظفون!$B$6:$B$45,0)),""))</f>
        <v>0.33333333333333298</v>
      </c>
      <c r="E82" s="49">
        <v>0.34166666666666701</v>
      </c>
      <c r="F82" s="49">
        <v>0.79166666666666696</v>
      </c>
      <c r="G82" s="74">
        <f t="shared" si="2"/>
        <v>12</v>
      </c>
      <c r="H82" s="75">
        <f t="shared" si="3"/>
        <v>10.8</v>
      </c>
      <c r="I82" s="75">
        <f>IF($H82="","",MAX(0,ROUND($H82-الإعدادات!$C$24-الإعدادات!$C$27,2)))</f>
        <v>1.8</v>
      </c>
      <c r="J82" s="76">
        <f>IF(OR($B82="",$G82="",$G82&lt;=0),"",COUNTIFS($B$6:$B82,$B82,$G$6:$G82,"&gt;0"))</f>
        <v>3</v>
      </c>
      <c r="K82" s="75">
        <f>IF($J82="","",INDEX(الجزاءات!$E$6:$H$9,MATCH($G82,الجزاءات!$B$6:$B$9,1),MIN($J82,4)))</f>
        <v>0.1</v>
      </c>
      <c r="L82" s="45"/>
    </row>
    <row r="83" spans="1:12" ht="15.75" customHeight="1" x14ac:dyDescent="0.35">
      <c r="A83" s="31">
        <v>46246</v>
      </c>
      <c r="B83" s="30" t="s">
        <v>228</v>
      </c>
      <c r="C83" s="72" t="str">
        <f>IF($B83="","",IFERROR(INDEX(الموظفون!$C$6:$C$45,MATCH($B83,الموظفون!$B$6:$B$45,0)),""))</f>
        <v>يوسف إبراهيم فؤاد</v>
      </c>
      <c r="D83" s="73">
        <f>IF($B83="","",IFERROR(INDEX(الموظفون!$M$6:$M$45,MATCH($B83,الموظفون!$B$6:$B$45,0)),""))</f>
        <v>0.33333333333333298</v>
      </c>
      <c r="E83" s="49">
        <v>0.33333333333333298</v>
      </c>
      <c r="F83" s="49">
        <v>0.70833333333333304</v>
      </c>
      <c r="G83" s="74">
        <f t="shared" si="2"/>
        <v>0</v>
      </c>
      <c r="H83" s="75">
        <f t="shared" si="3"/>
        <v>9</v>
      </c>
      <c r="I83" s="75">
        <f>IF($H83="","",MAX(0,ROUND($H83-الإعدادات!$C$24-الإعدادات!$C$27,2)))</f>
        <v>0</v>
      </c>
      <c r="J83" s="76" t="str">
        <f>IF(OR($B83="",$G83="",$G83&lt;=0),"",COUNTIFS($B$6:$B83,$B83,$G$6:$G83,"&gt;0"))</f>
        <v/>
      </c>
      <c r="K83" s="75" t="str">
        <f>IF($J83="","",INDEX(الجزاءات!$E$6:$H$9,MATCH($G83,الجزاءات!$B$6:$B$9,1),MIN($J83,4)))</f>
        <v/>
      </c>
      <c r="L83" s="45"/>
    </row>
    <row r="84" spans="1:12" ht="15.75" customHeight="1" x14ac:dyDescent="0.35">
      <c r="A84" s="31">
        <v>46246</v>
      </c>
      <c r="B84" s="30" t="s">
        <v>238</v>
      </c>
      <c r="C84" s="72" t="str">
        <f>IF($B84="","",IFERROR(INDEX(الموظفون!$C$6:$C$45,MATCH($B84,الموظفون!$B$6:$B$45,0)),""))</f>
        <v>عمر شعبان النجار</v>
      </c>
      <c r="D84" s="73">
        <f>IF($B84="","",IFERROR(INDEX(الموظفون!$M$6:$M$45,MATCH($B84,الموظفون!$B$6:$B$45,0)),""))</f>
        <v>0.29166666666666702</v>
      </c>
      <c r="E84" s="49">
        <v>0.29166666666666702</v>
      </c>
      <c r="F84" s="49">
        <v>0.66666666666666696</v>
      </c>
      <c r="G84" s="74">
        <f t="shared" si="2"/>
        <v>0</v>
      </c>
      <c r="H84" s="75">
        <f t="shared" si="3"/>
        <v>9</v>
      </c>
      <c r="I84" s="75">
        <f>IF($H84="","",MAX(0,ROUND($H84-الإعدادات!$C$24-الإعدادات!$C$27,2)))</f>
        <v>0</v>
      </c>
      <c r="J84" s="76" t="str">
        <f>IF(OR($B84="",$G84="",$G84&lt;=0),"",COUNTIFS($B$6:$B84,$B84,$G$6:$G84,"&gt;0"))</f>
        <v/>
      </c>
      <c r="K84" s="75" t="str">
        <f>IF($J84="","",INDEX(الجزاءات!$E$6:$H$9,MATCH($G84,الجزاءات!$B$6:$B$9,1),MIN($J84,4)))</f>
        <v/>
      </c>
      <c r="L84" s="45"/>
    </row>
    <row r="85" spans="1:12" ht="15.75" customHeight="1" x14ac:dyDescent="0.35">
      <c r="A85" s="31">
        <v>46246</v>
      </c>
      <c r="B85" s="30" t="s">
        <v>252</v>
      </c>
      <c r="C85" s="72" t="str">
        <f>IF($B85="","",IFERROR(INDEX(الموظفون!$C$6:$C$45,MATCH($B85,الموظفون!$B$6:$B$45,0)),""))</f>
        <v>سارة الشريف عبد الله</v>
      </c>
      <c r="D85" s="73">
        <f>IF($B85="","",IFERROR(INDEX(الموظفون!$M$6:$M$45,MATCH($B85,الموظفون!$B$6:$B$45,0)),""))</f>
        <v>0.33333333333333298</v>
      </c>
      <c r="E85" s="49">
        <v>0.33333333333333298</v>
      </c>
      <c r="F85" s="49">
        <v>0.70833333333333304</v>
      </c>
      <c r="G85" s="74">
        <f t="shared" si="2"/>
        <v>0</v>
      </c>
      <c r="H85" s="75">
        <f t="shared" si="3"/>
        <v>9</v>
      </c>
      <c r="I85" s="75">
        <f>IF($H85="","",MAX(0,ROUND($H85-الإعدادات!$C$24-الإعدادات!$C$27,2)))</f>
        <v>0</v>
      </c>
      <c r="J85" s="76" t="str">
        <f>IF(OR($B85="",$G85="",$G85&lt;=0),"",COUNTIFS($B$6:$B85,$B85,$G$6:$G85,"&gt;0"))</f>
        <v/>
      </c>
      <c r="K85" s="75" t="str">
        <f>IF($J85="","",INDEX(الجزاءات!$E$6:$H$9,MATCH($G85,الجزاءات!$B$6:$B$9,1),MIN($J85,4)))</f>
        <v/>
      </c>
      <c r="L85" s="45"/>
    </row>
    <row r="86" spans="1:12" ht="15.75" customHeight="1" x14ac:dyDescent="0.35">
      <c r="A86" s="31">
        <v>46246</v>
      </c>
      <c r="B86" s="30" t="s">
        <v>262</v>
      </c>
      <c r="C86" s="72" t="str">
        <f>IF($B86="","",IFERROR(INDEX(الموظفون!$C$6:$C$45,MATCH($B86,الموظفون!$B$6:$B$45,0)),""))</f>
        <v>رانيا الخولي</v>
      </c>
      <c r="D86" s="73">
        <f>IF($B86="","",IFERROR(INDEX(الموظفون!$M$6:$M$45,MATCH($B86,الموظفون!$B$6:$B$45,0)),""))</f>
        <v>0.33333333333333298</v>
      </c>
      <c r="E86" s="49">
        <v>0.36805555555555602</v>
      </c>
      <c r="F86" s="49">
        <v>0.70833333333333304</v>
      </c>
      <c r="G86" s="74">
        <f t="shared" si="2"/>
        <v>50</v>
      </c>
      <c r="H86" s="75">
        <f t="shared" si="3"/>
        <v>8.17</v>
      </c>
      <c r="I86" s="75">
        <f>IF($H86="","",MAX(0,ROUND($H86-الإعدادات!$C$24-الإعدادات!$C$27,2)))</f>
        <v>0</v>
      </c>
      <c r="J86" s="76">
        <f>IF(OR($B86="",$G86="",$G86&lt;=0),"",COUNTIFS($B$6:$B86,$B86,$G$6:$G86,"&gt;0"))</f>
        <v>2</v>
      </c>
      <c r="K86" s="75">
        <f>IF($J86="","",INDEX(الجزاءات!$E$6:$H$9,MATCH($G86,الجزاءات!$B$6:$B$9,1),MIN($J86,4)))</f>
        <v>0.5</v>
      </c>
      <c r="L86" s="45"/>
    </row>
    <row r="87" spans="1:12" ht="15.75" customHeight="1" x14ac:dyDescent="0.35">
      <c r="A87" s="31">
        <v>46246</v>
      </c>
      <c r="B87" s="30" t="s">
        <v>269</v>
      </c>
      <c r="C87" s="72" t="str">
        <f>IF($B87="","",IFERROR(INDEX(الموظفون!$C$6:$C$45,MATCH($B87,الموظفون!$B$6:$B$45,0)),""))</f>
        <v>تركي العنزي</v>
      </c>
      <c r="D87" s="73">
        <f>IF($B87="","",IFERROR(INDEX(الموظفون!$M$6:$M$45,MATCH($B87,الموظفون!$B$6:$B$45,0)),""))</f>
        <v>0.33333333333333298</v>
      </c>
      <c r="E87" s="49">
        <v>0.33680555555555602</v>
      </c>
      <c r="F87" s="49">
        <v>0.75</v>
      </c>
      <c r="G87" s="74">
        <f t="shared" si="2"/>
        <v>5</v>
      </c>
      <c r="H87" s="75">
        <f t="shared" si="3"/>
        <v>9.92</v>
      </c>
      <c r="I87" s="75">
        <f>IF($H87="","",MAX(0,ROUND($H87-الإعدادات!$C$24-الإعدادات!$C$27,2)))</f>
        <v>0.92</v>
      </c>
      <c r="J87" s="76">
        <f>IF(OR($B87="",$G87="",$G87&lt;=0),"",COUNTIFS($B$6:$B87,$B87,$G$6:$G87,"&gt;0"))</f>
        <v>4</v>
      </c>
      <c r="K87" s="75">
        <f>IF($J87="","",INDEX(الجزاءات!$E$6:$H$9,MATCH($G87,الجزاءات!$B$6:$B$9,1),MIN($J87,4)))</f>
        <v>0.2</v>
      </c>
      <c r="L87" s="45"/>
    </row>
    <row r="88" spans="1:12" ht="15.75" customHeight="1" x14ac:dyDescent="0.35">
      <c r="A88" s="31">
        <v>46246</v>
      </c>
      <c r="B88" s="30" t="s">
        <v>275</v>
      </c>
      <c r="C88" s="72" t="str">
        <f>IF($B88="","",IFERROR(INDEX(الموظفون!$C$6:$C$45,MATCH($B88,الموظفون!$B$6:$B$45,0)),""))</f>
        <v>إيمان صابر رفعت</v>
      </c>
      <c r="D88" s="73">
        <f>IF($B88="","",IFERROR(INDEX(الموظفون!$M$6:$M$45,MATCH($B88,الموظفون!$B$6:$B$45,0)),""))</f>
        <v>0.35416666666666702</v>
      </c>
      <c r="E88" s="49">
        <v>0.35763888888888901</v>
      </c>
      <c r="F88" s="49">
        <v>0.72916666666666696</v>
      </c>
      <c r="G88" s="74">
        <f t="shared" si="2"/>
        <v>5</v>
      </c>
      <c r="H88" s="75">
        <f t="shared" si="3"/>
        <v>8.92</v>
      </c>
      <c r="I88" s="75">
        <f>IF($H88="","",MAX(0,ROUND($H88-الإعدادات!$C$24-الإعدادات!$C$27,2)))</f>
        <v>0</v>
      </c>
      <c r="J88" s="76">
        <f>IF(OR($B88="",$G88="",$G88&lt;=0),"",COUNTIFS($B$6:$B88,$B88,$G$6:$G88,"&gt;0"))</f>
        <v>1</v>
      </c>
      <c r="K88" s="75">
        <f>IF($J88="","",INDEX(الجزاءات!$E$6:$H$9,MATCH($G88,الجزاءات!$B$6:$B$9,1),MIN($J88,4)))</f>
        <v>0</v>
      </c>
      <c r="L88" s="45"/>
    </row>
    <row r="89" spans="1:12" ht="15.75" customHeight="1" x14ac:dyDescent="0.35">
      <c r="A89" s="31">
        <v>46246</v>
      </c>
      <c r="B89" s="30" t="s">
        <v>280</v>
      </c>
      <c r="C89" s="72" t="str">
        <f>IF($B89="","",IFERROR(INDEX(الموظفون!$C$6:$C$45,MATCH($B89,الموظفون!$B$6:$B$45,0)),""))</f>
        <v>أميرة زكي الحسيني</v>
      </c>
      <c r="D89" s="73">
        <f>IF($B89="","",IFERROR(INDEX(الموظفون!$M$6:$M$45,MATCH($B89,الموظفون!$B$6:$B$45,0)),""))</f>
        <v>0.35416666666666702</v>
      </c>
      <c r="E89" s="49">
        <v>0.35416666666666702</v>
      </c>
      <c r="F89" s="49">
        <v>0.72916666666666696</v>
      </c>
      <c r="G89" s="74">
        <f t="shared" si="2"/>
        <v>0</v>
      </c>
      <c r="H89" s="75">
        <f t="shared" si="3"/>
        <v>9</v>
      </c>
      <c r="I89" s="75">
        <f>IF($H89="","",MAX(0,ROUND($H89-الإعدادات!$C$24-الإعدادات!$C$27,2)))</f>
        <v>0</v>
      </c>
      <c r="J89" s="76" t="str">
        <f>IF(OR($B89="",$G89="",$G89&lt;=0),"",COUNTIFS($B$6:$B89,$B89,$G$6:$G89,"&gt;0"))</f>
        <v/>
      </c>
      <c r="K89" s="75" t="str">
        <f>IF($J89="","",INDEX(الجزاءات!$E$6:$H$9,MATCH($G89,الجزاءات!$B$6:$B$9,1),MIN($J89,4)))</f>
        <v/>
      </c>
      <c r="L89" s="45"/>
    </row>
    <row r="90" spans="1:12" ht="15.75" customHeight="1" x14ac:dyDescent="0.35">
      <c r="A90" s="31">
        <v>46246</v>
      </c>
      <c r="B90" s="30" t="s">
        <v>282</v>
      </c>
      <c r="C90" s="72" t="str">
        <f>IF($B90="","",IFERROR(INDEX(الموظفون!$C$6:$C$45,MATCH($B90,الموظفون!$B$6:$B$45,0)),""))</f>
        <v>دلال البلوي</v>
      </c>
      <c r="D90" s="73">
        <f>IF($B90="","",IFERROR(INDEX(الموظفون!$M$6:$M$45,MATCH($B90,الموظفون!$B$6:$B$45,0)),""))</f>
        <v>0.35416666666666702</v>
      </c>
      <c r="E90" s="49">
        <v>0.36111111111111099</v>
      </c>
      <c r="F90" s="49">
        <v>0.72916666666666696</v>
      </c>
      <c r="G90" s="74">
        <f t="shared" si="2"/>
        <v>10</v>
      </c>
      <c r="H90" s="75">
        <f t="shared" si="3"/>
        <v>8.83</v>
      </c>
      <c r="I90" s="75">
        <f>IF($H90="","",MAX(0,ROUND($H90-الإعدادات!$C$24-الإعدادات!$C$27,2)))</f>
        <v>0</v>
      </c>
      <c r="J90" s="76">
        <f>IF(OR($B90="",$G90="",$G90&lt;=0),"",COUNTIFS($B$6:$B90,$B90,$G$6:$G90,"&gt;0"))</f>
        <v>8</v>
      </c>
      <c r="K90" s="75">
        <f>IF($J90="","",INDEX(الجزاءات!$E$6:$H$9,MATCH($G90,الجزاءات!$B$6:$B$9,1),MIN($J90,4)))</f>
        <v>0.2</v>
      </c>
      <c r="L90" s="45"/>
    </row>
    <row r="91" spans="1:12" ht="15.75" customHeight="1" x14ac:dyDescent="0.35">
      <c r="A91" s="31">
        <v>46247</v>
      </c>
      <c r="B91" s="30" t="s">
        <v>228</v>
      </c>
      <c r="C91" s="72" t="str">
        <f>IF($B91="","",IFERROR(INDEX(الموظفون!$C$6:$C$45,MATCH($B91,الموظفون!$B$6:$B$45,0)),""))</f>
        <v>يوسف إبراهيم فؤاد</v>
      </c>
      <c r="D91" s="73">
        <f>IF($B91="","",IFERROR(INDEX(الموظفون!$M$6:$M$45,MATCH($B91,الموظفون!$B$6:$B$45,0)),""))</f>
        <v>0.33333333333333298</v>
      </c>
      <c r="E91" s="49">
        <v>0.34583333333333299</v>
      </c>
      <c r="F91" s="49">
        <v>0.70833333333333304</v>
      </c>
      <c r="G91" s="74">
        <f t="shared" si="2"/>
        <v>18</v>
      </c>
      <c r="H91" s="75">
        <f t="shared" si="3"/>
        <v>8.6999999999999993</v>
      </c>
      <c r="I91" s="75">
        <f>IF($H91="","",MAX(0,ROUND($H91-الإعدادات!$C$24-الإعدادات!$C$27,2)))</f>
        <v>0</v>
      </c>
      <c r="J91" s="76">
        <f>IF(OR($B91="",$G91="",$G91&lt;=0),"",COUNTIFS($B$6:$B91,$B91,$G$6:$G91,"&gt;0"))</f>
        <v>9</v>
      </c>
      <c r="K91" s="75">
        <f>IF($J91="","",INDEX(الجزاءات!$E$6:$H$9,MATCH($G91,الجزاءات!$B$6:$B$9,1),MIN($J91,4)))</f>
        <v>0.5</v>
      </c>
      <c r="L91" s="45"/>
    </row>
    <row r="92" spans="1:12" ht="15.75" customHeight="1" x14ac:dyDescent="0.35">
      <c r="A92" s="31">
        <v>46247</v>
      </c>
      <c r="B92" s="30" t="s">
        <v>234</v>
      </c>
      <c r="C92" s="72" t="str">
        <f>IF($B92="","",IFERROR(INDEX(الموظفون!$C$6:$C$45,MATCH($B92,الموظفون!$B$6:$B$45,0)),""))</f>
        <v>كريم سعيد الخولي</v>
      </c>
      <c r="D92" s="73">
        <f>IF($B92="","",IFERROR(INDEX(الموظفون!$M$6:$M$45,MATCH($B92,الموظفون!$B$6:$B$45,0)),""))</f>
        <v>0.33333333333333298</v>
      </c>
      <c r="E92" s="49">
        <v>0.33333333333333298</v>
      </c>
      <c r="F92" s="49">
        <v>0.70833333333333304</v>
      </c>
      <c r="G92" s="74">
        <f t="shared" si="2"/>
        <v>0</v>
      </c>
      <c r="H92" s="75">
        <f t="shared" si="3"/>
        <v>9</v>
      </c>
      <c r="I92" s="75">
        <f>IF($H92="","",MAX(0,ROUND($H92-الإعدادات!$C$24-الإعدادات!$C$27,2)))</f>
        <v>0</v>
      </c>
      <c r="J92" s="76" t="str">
        <f>IF(OR($B92="",$G92="",$G92&lt;=0),"",COUNTIFS($B$6:$B92,$B92,$G$6:$G92,"&gt;0"))</f>
        <v/>
      </c>
      <c r="K92" s="75" t="str">
        <f>IF($J92="","",INDEX(الجزاءات!$E$6:$H$9,MATCH($G92,الجزاءات!$B$6:$B$9,1),MIN($J92,4)))</f>
        <v/>
      </c>
      <c r="L92" s="45"/>
    </row>
    <row r="93" spans="1:12" ht="15.75" customHeight="1" x14ac:dyDescent="0.35">
      <c r="A93" s="31">
        <v>46247</v>
      </c>
      <c r="B93" s="30" t="s">
        <v>242</v>
      </c>
      <c r="C93" s="72" t="str">
        <f>IF($B93="","",IFERROR(INDEX(الموظفون!$C$6:$C$45,MATCH($B93,الموظفون!$B$6:$B$45,0)),""))</f>
        <v>ماجد الدوسري</v>
      </c>
      <c r="D93" s="73">
        <f>IF($B93="","",IFERROR(INDEX(الموظفون!$M$6:$M$45,MATCH($B93,الموظفون!$B$6:$B$45,0)),""))</f>
        <v>0.29166666666666702</v>
      </c>
      <c r="E93" s="49">
        <v>0.29166666666666702</v>
      </c>
      <c r="F93" s="49">
        <v>0.70833333333333304</v>
      </c>
      <c r="G93" s="74">
        <f t="shared" si="2"/>
        <v>0</v>
      </c>
      <c r="H93" s="75">
        <f t="shared" si="3"/>
        <v>10</v>
      </c>
      <c r="I93" s="75">
        <f>IF($H93="","",MAX(0,ROUND($H93-الإعدادات!$C$24-الإعدادات!$C$27,2)))</f>
        <v>1</v>
      </c>
      <c r="J93" s="76" t="str">
        <f>IF(OR($B93="",$G93="",$G93&lt;=0),"",COUNTIFS($B$6:$B93,$B93,$G$6:$G93,"&gt;0"))</f>
        <v/>
      </c>
      <c r="K93" s="75" t="str">
        <f>IF($J93="","",INDEX(الجزاءات!$E$6:$H$9,MATCH($G93,الجزاءات!$B$6:$B$9,1),MIN($J93,4)))</f>
        <v/>
      </c>
      <c r="L93" s="45"/>
    </row>
    <row r="94" spans="1:12" ht="15.75" customHeight="1" x14ac:dyDescent="0.35">
      <c r="A94" s="31">
        <v>46247</v>
      </c>
      <c r="B94" s="30" t="s">
        <v>252</v>
      </c>
      <c r="C94" s="72" t="str">
        <f>IF($B94="","",IFERROR(INDEX(الموظفون!$C$6:$C$45,MATCH($B94,الموظفون!$B$6:$B$45,0)),""))</f>
        <v>سارة الشريف عبد الله</v>
      </c>
      <c r="D94" s="73">
        <f>IF($B94="","",IFERROR(INDEX(الموظفون!$M$6:$M$45,MATCH($B94,الموظفون!$B$6:$B$45,0)),""))</f>
        <v>0.33333333333333298</v>
      </c>
      <c r="E94" s="49">
        <v>0.34027777777777801</v>
      </c>
      <c r="F94" s="49">
        <v>0.79166666666666696</v>
      </c>
      <c r="G94" s="74">
        <f t="shared" si="2"/>
        <v>10</v>
      </c>
      <c r="H94" s="75">
        <f t="shared" si="3"/>
        <v>10.83</v>
      </c>
      <c r="I94" s="75">
        <f>IF($H94="","",MAX(0,ROUND($H94-الإعدادات!$C$24-الإعدادات!$C$27,2)))</f>
        <v>1.83</v>
      </c>
      <c r="J94" s="76">
        <f>IF(OR($B94="",$G94="",$G94&lt;=0),"",COUNTIFS($B$6:$B94,$B94,$G$6:$G94,"&gt;0"))</f>
        <v>8</v>
      </c>
      <c r="K94" s="75">
        <f>IF($J94="","",INDEX(الجزاءات!$E$6:$H$9,MATCH($G94,الجزاءات!$B$6:$B$9,1),MIN($J94,4)))</f>
        <v>0.2</v>
      </c>
      <c r="L94" s="45"/>
    </row>
    <row r="95" spans="1:12" ht="15.75" customHeight="1" x14ac:dyDescent="0.35">
      <c r="A95" s="31">
        <v>46247</v>
      </c>
      <c r="B95" s="30" t="s">
        <v>256</v>
      </c>
      <c r="C95" s="72" t="str">
        <f>IF($B95="","",IFERROR(INDEX(الموظفون!$C$6:$C$45,MATCH($B95,الموظفون!$B$6:$B$45,0)),""))</f>
        <v>منى الغزالي</v>
      </c>
      <c r="D95" s="73">
        <f>IF($B95="","",IFERROR(INDEX(الموظفون!$M$6:$M$45,MATCH($B95,الموظفون!$B$6:$B$45,0)),""))</f>
        <v>0.33333333333333298</v>
      </c>
      <c r="E95" s="49">
        <v>0.33333333333333298</v>
      </c>
      <c r="F95" s="49">
        <v>0.70833333333333304</v>
      </c>
      <c r="G95" s="74">
        <f t="shared" si="2"/>
        <v>0</v>
      </c>
      <c r="H95" s="75">
        <f t="shared" si="3"/>
        <v>9</v>
      </c>
      <c r="I95" s="75">
        <f>IF($H95="","",MAX(0,ROUND($H95-الإعدادات!$C$24-الإعدادات!$C$27,2)))</f>
        <v>0</v>
      </c>
      <c r="J95" s="76" t="str">
        <f>IF(OR($B95="",$G95="",$G95&lt;=0),"",COUNTIFS($B$6:$B95,$B95,$G$6:$G95,"&gt;0"))</f>
        <v/>
      </c>
      <c r="K95" s="75" t="str">
        <f>IF($J95="","",INDEX(الجزاءات!$E$6:$H$9,MATCH($G95,الجزاءات!$B$6:$B$9,1),MIN($J95,4)))</f>
        <v/>
      </c>
      <c r="L95" s="45"/>
    </row>
    <row r="96" spans="1:12" ht="15.75" customHeight="1" x14ac:dyDescent="0.35">
      <c r="A96" s="31">
        <v>46247</v>
      </c>
      <c r="B96" s="30" t="s">
        <v>260</v>
      </c>
      <c r="C96" s="72" t="str">
        <f>IF($B96="","",IFERROR(INDEX(الموظفون!$C$6:$C$45,MATCH($B96,الموظفون!$B$6:$B$45,0)),""))</f>
        <v>هيا الغانم</v>
      </c>
      <c r="D96" s="73">
        <f>IF($B96="","",IFERROR(INDEX(الموظفون!$M$6:$M$45,MATCH($B96,الموظفون!$B$6:$B$45,0)),""))</f>
        <v>0.33333333333333298</v>
      </c>
      <c r="E96" s="49">
        <v>0.34722222222222199</v>
      </c>
      <c r="F96" s="49">
        <v>0.70833333333333304</v>
      </c>
      <c r="G96" s="74">
        <f t="shared" si="2"/>
        <v>20</v>
      </c>
      <c r="H96" s="75">
        <f t="shared" si="3"/>
        <v>8.67</v>
      </c>
      <c r="I96" s="75">
        <f>IF($H96="","",MAX(0,ROUND($H96-الإعدادات!$C$24-الإعدادات!$C$27,2)))</f>
        <v>0</v>
      </c>
      <c r="J96" s="76">
        <f>IF(OR($B96="",$G96="",$G96&lt;=0),"",COUNTIFS($B$6:$B96,$B96,$G$6:$G96,"&gt;0"))</f>
        <v>3</v>
      </c>
      <c r="K96" s="75">
        <f>IF($J96="","",INDEX(الجزاءات!$E$6:$H$9,MATCH($G96,الجزاءات!$B$6:$B$9,1),MIN($J96,4)))</f>
        <v>0.25</v>
      </c>
      <c r="L96" s="45"/>
    </row>
    <row r="97" spans="1:12" ht="15.75" customHeight="1" x14ac:dyDescent="0.35">
      <c r="A97" s="31">
        <v>46247</v>
      </c>
      <c r="B97" s="30" t="s">
        <v>282</v>
      </c>
      <c r="C97" s="72" t="str">
        <f>IF($B97="","",IFERROR(INDEX(الموظفون!$C$6:$C$45,MATCH($B97,الموظفون!$B$6:$B$45,0)),""))</f>
        <v>دلال البلوي</v>
      </c>
      <c r="D97" s="73">
        <f>IF($B97="","",IFERROR(INDEX(الموظفون!$M$6:$M$45,MATCH($B97,الموظفون!$B$6:$B$45,0)),""))</f>
        <v>0.35416666666666702</v>
      </c>
      <c r="E97" s="49">
        <v>0.38194444444444398</v>
      </c>
      <c r="F97" s="49">
        <v>0.72916666666666696</v>
      </c>
      <c r="G97" s="74">
        <f t="shared" si="2"/>
        <v>40</v>
      </c>
      <c r="H97" s="75">
        <f t="shared" si="3"/>
        <v>8.33</v>
      </c>
      <c r="I97" s="75">
        <f>IF($H97="","",MAX(0,ROUND($H97-الإعدادات!$C$24-الإعدادات!$C$27,2)))</f>
        <v>0</v>
      </c>
      <c r="J97" s="76">
        <f>IF(OR($B97="",$G97="",$G97&lt;=0),"",COUNTIFS($B$6:$B97,$B97,$G$6:$G97,"&gt;0"))</f>
        <v>9</v>
      </c>
      <c r="K97" s="75">
        <f>IF($J97="","",INDEX(الجزاءات!$E$6:$H$9,MATCH($G97,الجزاءات!$B$6:$B$9,1),MIN($J97,4)))</f>
        <v>1</v>
      </c>
      <c r="L97" s="45"/>
    </row>
    <row r="98" spans="1:12" ht="15.75" customHeight="1" x14ac:dyDescent="0.35">
      <c r="A98" s="31">
        <v>46247</v>
      </c>
      <c r="B98" s="30" t="s">
        <v>286</v>
      </c>
      <c r="C98" s="72" t="str">
        <f>IF($B98="","",IFERROR(INDEX(الموظفون!$C$6:$C$45,MATCH($B98,الموظفون!$B$6:$B$45,0)),""))</f>
        <v>مي الفهد</v>
      </c>
      <c r="D98" s="73">
        <f>IF($B98="","",IFERROR(INDEX(الموظفون!$M$6:$M$45,MATCH($B98,الموظفون!$B$6:$B$45,0)),""))</f>
        <v>0.35416666666666702</v>
      </c>
      <c r="E98" s="49">
        <v>0.35416666666666702</v>
      </c>
      <c r="F98" s="49">
        <v>0.72916666666666696</v>
      </c>
      <c r="G98" s="74">
        <f t="shared" si="2"/>
        <v>0</v>
      </c>
      <c r="H98" s="75">
        <f t="shared" si="3"/>
        <v>9</v>
      </c>
      <c r="I98" s="75">
        <f>IF($H98="","",MAX(0,ROUND($H98-الإعدادات!$C$24-الإعدادات!$C$27,2)))</f>
        <v>0</v>
      </c>
      <c r="J98" s="76" t="str">
        <f>IF(OR($B98="",$G98="",$G98&lt;=0),"",COUNTIFS($B$6:$B98,$B98,$G$6:$G98,"&gt;0"))</f>
        <v/>
      </c>
      <c r="K98" s="75" t="str">
        <f>IF($J98="","",INDEX(الجزاءات!$E$6:$H$9,MATCH($G98,الجزاءات!$B$6:$B$9,1),MIN($J98,4)))</f>
        <v/>
      </c>
      <c r="L98" s="45"/>
    </row>
    <row r="99" spans="1:12" ht="15.75" customHeight="1" x14ac:dyDescent="0.35">
      <c r="A99" s="31">
        <v>46250</v>
      </c>
      <c r="B99" s="30" t="s">
        <v>226</v>
      </c>
      <c r="C99" s="72" t="str">
        <f>IF($B99="","",IFERROR(INDEX(الموظفون!$C$6:$C$45,MATCH($B99,الموظفون!$B$6:$B$45,0)),""))</f>
        <v>فيصل العتيبي</v>
      </c>
      <c r="D99" s="73">
        <f>IF($B99="","",IFERROR(INDEX(الموظفون!$M$6:$M$45,MATCH($B99,الموظفون!$B$6:$B$45,0)),""))</f>
        <v>0.33333333333333298</v>
      </c>
      <c r="E99" s="49">
        <v>0.34166666666666701</v>
      </c>
      <c r="F99" s="49">
        <v>0.70833333333333304</v>
      </c>
      <c r="G99" s="74">
        <f t="shared" si="2"/>
        <v>12</v>
      </c>
      <c r="H99" s="75">
        <f t="shared" si="3"/>
        <v>8.8000000000000007</v>
      </c>
      <c r="I99" s="75">
        <f>IF($H99="","",MAX(0,ROUND($H99-الإعدادات!$C$24-الإعدادات!$C$27,2)))</f>
        <v>0</v>
      </c>
      <c r="J99" s="76">
        <f>IF(OR($B99="",$G99="",$G99&lt;=0),"",COUNTIFS($B$6:$B99,$B99,$G$6:$G99,"&gt;0"))</f>
        <v>4</v>
      </c>
      <c r="K99" s="75">
        <f>IF($J99="","",INDEX(الجزاءات!$E$6:$H$9,MATCH($G99,الجزاءات!$B$6:$B$9,1),MIN($J99,4)))</f>
        <v>0.2</v>
      </c>
      <c r="L99" s="45"/>
    </row>
    <row r="100" spans="1:12" ht="15.75" customHeight="1" x14ac:dyDescent="0.35">
      <c r="A100" s="31">
        <v>46250</v>
      </c>
      <c r="B100" s="30" t="s">
        <v>228</v>
      </c>
      <c r="C100" s="72" t="str">
        <f>IF($B100="","",IFERROR(INDEX(الموظفون!$C$6:$C$45,MATCH($B100,الموظفون!$B$6:$B$45,0)),""))</f>
        <v>يوسف إبراهيم فؤاد</v>
      </c>
      <c r="D100" s="73">
        <f>IF($B100="","",IFERROR(INDEX(الموظفون!$M$6:$M$45,MATCH($B100,الموظفون!$B$6:$B$45,0)),""))</f>
        <v>0.33333333333333298</v>
      </c>
      <c r="E100" s="49">
        <v>0.33333333333333298</v>
      </c>
      <c r="F100" s="49">
        <v>0.70833333333333304</v>
      </c>
      <c r="G100" s="74">
        <f t="shared" si="2"/>
        <v>0</v>
      </c>
      <c r="H100" s="75">
        <f t="shared" si="3"/>
        <v>9</v>
      </c>
      <c r="I100" s="75">
        <f>IF($H100="","",MAX(0,ROUND($H100-الإعدادات!$C$24-الإعدادات!$C$27,2)))</f>
        <v>0</v>
      </c>
      <c r="J100" s="76" t="str">
        <f>IF(OR($B100="",$G100="",$G100&lt;=0),"",COUNTIFS($B$6:$B100,$B100,$G$6:$G100,"&gt;0"))</f>
        <v/>
      </c>
      <c r="K100" s="75" t="str">
        <f>IF($J100="","",INDEX(الجزاءات!$E$6:$H$9,MATCH($G100,الجزاءات!$B$6:$B$9,1),MIN($J100,4)))</f>
        <v/>
      </c>
      <c r="L100" s="45"/>
    </row>
    <row r="101" spans="1:12" ht="15.75" customHeight="1" x14ac:dyDescent="0.35">
      <c r="A101" s="31">
        <v>46250</v>
      </c>
      <c r="B101" s="30" t="s">
        <v>238</v>
      </c>
      <c r="C101" s="72" t="str">
        <f>IF($B101="","",IFERROR(INDEX(الموظفون!$C$6:$C$45,MATCH($B101,الموظفون!$B$6:$B$45,0)),""))</f>
        <v>عمر شعبان النجار</v>
      </c>
      <c r="D101" s="73">
        <f>IF($B101="","",IFERROR(INDEX(الموظفون!$M$6:$M$45,MATCH($B101,الموظفون!$B$6:$B$45,0)),""))</f>
        <v>0.29166666666666702</v>
      </c>
      <c r="E101" s="49">
        <v>0.3</v>
      </c>
      <c r="F101" s="49">
        <v>0.66666666666666696</v>
      </c>
      <c r="G101" s="74">
        <f t="shared" si="2"/>
        <v>12</v>
      </c>
      <c r="H101" s="75">
        <f t="shared" si="3"/>
        <v>8.8000000000000007</v>
      </c>
      <c r="I101" s="75">
        <f>IF($H101="","",MAX(0,ROUND($H101-الإعدادات!$C$24-الإعدادات!$C$27,2)))</f>
        <v>0</v>
      </c>
      <c r="J101" s="76">
        <f>IF(OR($B101="",$G101="",$G101&lt;=0),"",COUNTIFS($B$6:$B101,$B101,$G$6:$G101,"&gt;0"))</f>
        <v>3</v>
      </c>
      <c r="K101" s="75">
        <f>IF($J101="","",INDEX(الجزاءات!$E$6:$H$9,MATCH($G101,الجزاءات!$B$6:$B$9,1),MIN($J101,4)))</f>
        <v>0.1</v>
      </c>
      <c r="L101" s="45"/>
    </row>
    <row r="102" spans="1:12" ht="15.75" customHeight="1" x14ac:dyDescent="0.35">
      <c r="A102" s="31">
        <v>46250</v>
      </c>
      <c r="B102" s="30" t="s">
        <v>242</v>
      </c>
      <c r="C102" s="72" t="str">
        <f>IF($B102="","",IFERROR(INDEX(الموظفون!$C$6:$C$45,MATCH($B102,الموظفون!$B$6:$B$45,0)),""))</f>
        <v>ماجد الدوسري</v>
      </c>
      <c r="D102" s="73">
        <f>IF($B102="","",IFERROR(INDEX(الموظفون!$M$6:$M$45,MATCH($B102,الموظفون!$B$6:$B$45,0)),""))</f>
        <v>0.29166666666666702</v>
      </c>
      <c r="E102" s="49">
        <v>0.29166666666666702</v>
      </c>
      <c r="F102" s="49">
        <v>0.70833333333333304</v>
      </c>
      <c r="G102" s="74">
        <f t="shared" si="2"/>
        <v>0</v>
      </c>
      <c r="H102" s="75">
        <f t="shared" si="3"/>
        <v>10</v>
      </c>
      <c r="I102" s="75">
        <f>IF($H102="","",MAX(0,ROUND($H102-الإعدادات!$C$24-الإعدادات!$C$27,2)))</f>
        <v>1</v>
      </c>
      <c r="J102" s="76" t="str">
        <f>IF(OR($B102="",$G102="",$G102&lt;=0),"",COUNTIFS($B$6:$B102,$B102,$G$6:$G102,"&gt;0"))</f>
        <v/>
      </c>
      <c r="K102" s="75" t="str">
        <f>IF($J102="","",INDEX(الجزاءات!$E$6:$H$9,MATCH($G102,الجزاءات!$B$6:$B$9,1),MIN($J102,4)))</f>
        <v/>
      </c>
      <c r="L102" s="45"/>
    </row>
    <row r="103" spans="1:12" ht="15.75" customHeight="1" x14ac:dyDescent="0.35">
      <c r="A103" s="31">
        <v>46250</v>
      </c>
      <c r="B103" s="30" t="s">
        <v>252</v>
      </c>
      <c r="C103" s="72" t="str">
        <f>IF($B103="","",IFERROR(INDEX(الموظفون!$C$6:$C$45,MATCH($B103,الموظفون!$B$6:$B$45,0)),""))</f>
        <v>سارة الشريف عبد الله</v>
      </c>
      <c r="D103" s="73">
        <f>IF($B103="","",IFERROR(INDEX(الموظفون!$M$6:$M$45,MATCH($B103,الموظفون!$B$6:$B$45,0)),""))</f>
        <v>0.33333333333333298</v>
      </c>
      <c r="E103" s="49">
        <v>0.34583333333333299</v>
      </c>
      <c r="F103" s="49">
        <v>0.70833333333333304</v>
      </c>
      <c r="G103" s="74">
        <f t="shared" si="2"/>
        <v>18</v>
      </c>
      <c r="H103" s="75">
        <f t="shared" si="3"/>
        <v>8.6999999999999993</v>
      </c>
      <c r="I103" s="75">
        <f>IF($H103="","",MAX(0,ROUND($H103-الإعدادات!$C$24-الإعدادات!$C$27,2)))</f>
        <v>0</v>
      </c>
      <c r="J103" s="76">
        <f>IF(OR($B103="",$G103="",$G103&lt;=0),"",COUNTIFS($B$6:$B103,$B103,$G$6:$G103,"&gt;0"))</f>
        <v>9</v>
      </c>
      <c r="K103" s="75">
        <f>IF($J103="","",INDEX(الجزاءات!$E$6:$H$9,MATCH($G103,الجزاءات!$B$6:$B$9,1),MIN($J103,4)))</f>
        <v>0.5</v>
      </c>
      <c r="L103" s="45"/>
    </row>
    <row r="104" spans="1:12" ht="15.75" customHeight="1" x14ac:dyDescent="0.35">
      <c r="A104" s="31">
        <v>46250</v>
      </c>
      <c r="B104" s="30" t="s">
        <v>272</v>
      </c>
      <c r="C104" s="72" t="str">
        <f>IF($B104="","",IFERROR(INDEX(الموظفون!$C$6:$C$45,MATCH($B104,الموظفون!$B$6:$B$45,0)),""))</f>
        <v>نايف السبيعي</v>
      </c>
      <c r="D104" s="73">
        <f>IF($B104="","",IFERROR(INDEX(الموظفون!$M$6:$M$45,MATCH($B104,الموظفون!$B$6:$B$45,0)),""))</f>
        <v>0.33333333333333298</v>
      </c>
      <c r="E104" s="49">
        <v>0.33333333333333298</v>
      </c>
      <c r="F104" s="49">
        <v>0.70833333333333304</v>
      </c>
      <c r="G104" s="74">
        <f t="shared" si="2"/>
        <v>0</v>
      </c>
      <c r="H104" s="75">
        <f t="shared" si="3"/>
        <v>9</v>
      </c>
      <c r="I104" s="75">
        <f>IF($H104="","",MAX(0,ROUND($H104-الإعدادات!$C$24-الإعدادات!$C$27,2)))</f>
        <v>0</v>
      </c>
      <c r="J104" s="76" t="str">
        <f>IF(OR($B104="",$G104="",$G104&lt;=0),"",COUNTIFS($B$6:$B104,$B104,$G$6:$G104,"&gt;0"))</f>
        <v/>
      </c>
      <c r="K104" s="75" t="str">
        <f>IF($J104="","",INDEX(الجزاءات!$E$6:$H$9,MATCH($G104,الجزاءات!$B$6:$B$9,1),MIN($J104,4)))</f>
        <v/>
      </c>
      <c r="L104" s="45"/>
    </row>
    <row r="105" spans="1:12" ht="15.75" customHeight="1" x14ac:dyDescent="0.35">
      <c r="A105" s="31">
        <v>46250</v>
      </c>
      <c r="B105" s="30" t="s">
        <v>279</v>
      </c>
      <c r="C105" s="72" t="str">
        <f>IF($B105="","",IFERROR(INDEX(الموظفون!$C$6:$C$45,MATCH($B105,الموظفون!$B$6:$B$45,0)),""))</f>
        <v>منال المطيري</v>
      </c>
      <c r="D105" s="73">
        <f>IF($B105="","",IFERROR(INDEX(الموظفون!$M$6:$M$45,MATCH($B105,الموظفون!$B$6:$B$45,0)),""))</f>
        <v>0.35416666666666702</v>
      </c>
      <c r="E105" s="49">
        <v>0.38888888888888901</v>
      </c>
      <c r="F105" s="49">
        <v>0.77083333333333304</v>
      </c>
      <c r="G105" s="74">
        <f t="shared" si="2"/>
        <v>50</v>
      </c>
      <c r="H105" s="75">
        <f t="shared" si="3"/>
        <v>9.17</v>
      </c>
      <c r="I105" s="75">
        <f>IF($H105="","",MAX(0,ROUND($H105-الإعدادات!$C$24-الإعدادات!$C$27,2)))</f>
        <v>0.17</v>
      </c>
      <c r="J105" s="76">
        <f>IF(OR($B105="",$G105="",$G105&lt;=0),"",COUNTIFS($B$6:$B105,$B105,$G$6:$G105,"&gt;0"))</f>
        <v>1</v>
      </c>
      <c r="K105" s="75">
        <f>IF($J105="","",INDEX(الجزاءات!$E$6:$H$9,MATCH($G105,الجزاءات!$B$6:$B$9,1),MIN($J105,4)))</f>
        <v>0.25</v>
      </c>
      <c r="L105" s="45"/>
    </row>
    <row r="106" spans="1:12" ht="15.75" customHeight="1" x14ac:dyDescent="0.35">
      <c r="A106" s="31">
        <v>46250</v>
      </c>
      <c r="B106" s="30" t="s">
        <v>282</v>
      </c>
      <c r="C106" s="72" t="str">
        <f>IF($B106="","",IFERROR(INDEX(الموظفون!$C$6:$C$45,MATCH($B106,الموظفون!$B$6:$B$45,0)),""))</f>
        <v>دلال البلوي</v>
      </c>
      <c r="D106" s="73">
        <f>IF($B106="","",IFERROR(INDEX(الموظفون!$M$6:$M$45,MATCH($B106,الموظفون!$B$6:$B$45,0)),""))</f>
        <v>0.35416666666666702</v>
      </c>
      <c r="E106" s="49">
        <v>0.36666666666666697</v>
      </c>
      <c r="F106" s="49">
        <v>0.72916666666666696</v>
      </c>
      <c r="G106" s="74">
        <f t="shared" si="2"/>
        <v>18</v>
      </c>
      <c r="H106" s="75">
        <f t="shared" si="3"/>
        <v>8.6999999999999993</v>
      </c>
      <c r="I106" s="75">
        <f>IF($H106="","",MAX(0,ROUND($H106-الإعدادات!$C$24-الإعدادات!$C$27,2)))</f>
        <v>0</v>
      </c>
      <c r="J106" s="76">
        <f>IF(OR($B106="",$G106="",$G106&lt;=0),"",COUNTIFS($B$6:$B106,$B106,$G$6:$G106,"&gt;0"))</f>
        <v>10</v>
      </c>
      <c r="K106" s="75">
        <f>IF($J106="","",INDEX(الجزاءات!$E$6:$H$9,MATCH($G106,الجزاءات!$B$6:$B$9,1),MIN($J106,4)))</f>
        <v>0.5</v>
      </c>
      <c r="L106" s="45"/>
    </row>
    <row r="107" spans="1:12" ht="15.75" customHeight="1" x14ac:dyDescent="0.35">
      <c r="A107" s="31">
        <v>46250</v>
      </c>
      <c r="B107" s="30" t="s">
        <v>284</v>
      </c>
      <c r="C107" s="72" t="str">
        <f>IF($B107="","",IFERROR(INDEX(الموظفون!$C$6:$C$45,MATCH($B107,الموظفون!$B$6:$B$45,0)),""))</f>
        <v>نادية عبد الحميد</v>
      </c>
      <c r="D107" s="73">
        <f>IF($B107="","",IFERROR(INDEX(الموظفون!$M$6:$M$45,MATCH($B107,الموظفون!$B$6:$B$45,0)),""))</f>
        <v>0.35416666666666702</v>
      </c>
      <c r="E107" s="49">
        <v>0.36249999999999999</v>
      </c>
      <c r="F107" s="49">
        <v>0.72916666666666696</v>
      </c>
      <c r="G107" s="74">
        <f t="shared" si="2"/>
        <v>12</v>
      </c>
      <c r="H107" s="75">
        <f t="shared" si="3"/>
        <v>8.8000000000000007</v>
      </c>
      <c r="I107" s="75">
        <f>IF($H107="","",MAX(0,ROUND($H107-الإعدادات!$C$24-الإعدادات!$C$27,2)))</f>
        <v>0</v>
      </c>
      <c r="J107" s="76">
        <f>IF(OR($B107="",$G107="",$G107&lt;=0),"",COUNTIFS($B$6:$B107,$B107,$G$6:$G107,"&gt;0"))</f>
        <v>1</v>
      </c>
      <c r="K107" s="75">
        <f>IF($J107="","",INDEX(الجزاءات!$E$6:$H$9,MATCH($G107,الجزاءات!$B$6:$B$9,1),MIN($J107,4)))</f>
        <v>0</v>
      </c>
      <c r="L107" s="45"/>
    </row>
    <row r="108" spans="1:12" ht="15.75" customHeight="1" x14ac:dyDescent="0.35">
      <c r="A108" s="31">
        <v>46251</v>
      </c>
      <c r="B108" s="30" t="s">
        <v>222</v>
      </c>
      <c r="C108" s="72" t="str">
        <f>IF($B108="","",IFERROR(INDEX(الموظفون!$C$6:$C$45,MATCH($B108,الموظفون!$B$6:$B$45,0)),""))</f>
        <v>عبدالله القحطاني</v>
      </c>
      <c r="D108" s="73">
        <f>IF($B108="","",IFERROR(INDEX(الموظفون!$M$6:$M$45,MATCH($B108,الموظفون!$B$6:$B$45,0)),""))</f>
        <v>0.33333333333333298</v>
      </c>
      <c r="E108" s="49">
        <v>0.33333333333333298</v>
      </c>
      <c r="F108" s="49">
        <v>0.70833333333333304</v>
      </c>
      <c r="G108" s="74">
        <f t="shared" si="2"/>
        <v>0</v>
      </c>
      <c r="H108" s="75">
        <f t="shared" si="3"/>
        <v>9</v>
      </c>
      <c r="I108" s="75">
        <f>IF($H108="","",MAX(0,ROUND($H108-الإعدادات!$C$24-الإعدادات!$C$27,2)))</f>
        <v>0</v>
      </c>
      <c r="J108" s="76" t="str">
        <f>IF(OR($B108="",$G108="",$G108&lt;=0),"",COUNTIFS($B$6:$B108,$B108,$G$6:$G108,"&gt;0"))</f>
        <v/>
      </c>
      <c r="K108" s="75" t="str">
        <f>IF($J108="","",INDEX(الجزاءات!$E$6:$H$9,MATCH($G108,الجزاءات!$B$6:$B$9,1),MIN($J108,4)))</f>
        <v/>
      </c>
      <c r="L108" s="45"/>
    </row>
    <row r="109" spans="1:12" ht="15.75" customHeight="1" x14ac:dyDescent="0.35">
      <c r="A109" s="31">
        <v>46251</v>
      </c>
      <c r="B109" s="30" t="s">
        <v>238</v>
      </c>
      <c r="C109" s="72" t="str">
        <f>IF($B109="","",IFERROR(INDEX(الموظفون!$C$6:$C$45,MATCH($B109,الموظفون!$B$6:$B$45,0)),""))</f>
        <v>عمر شعبان النجار</v>
      </c>
      <c r="D109" s="73">
        <f>IF($B109="","",IFERROR(INDEX(الموظفون!$M$6:$M$45,MATCH($B109,الموظفون!$B$6:$B$45,0)),""))</f>
        <v>0.29166666666666702</v>
      </c>
      <c r="E109" s="49">
        <v>0.32638888888888901</v>
      </c>
      <c r="F109" s="49">
        <v>0.66666666666666696</v>
      </c>
      <c r="G109" s="74">
        <f t="shared" si="2"/>
        <v>50</v>
      </c>
      <c r="H109" s="75">
        <f t="shared" si="3"/>
        <v>8.17</v>
      </c>
      <c r="I109" s="75">
        <f>IF($H109="","",MAX(0,ROUND($H109-الإعدادات!$C$24-الإعدادات!$C$27,2)))</f>
        <v>0</v>
      </c>
      <c r="J109" s="76">
        <f>IF(OR($B109="",$G109="",$G109&lt;=0),"",COUNTIFS($B$6:$B109,$B109,$G$6:$G109,"&gt;0"))</f>
        <v>4</v>
      </c>
      <c r="K109" s="75">
        <f>IF($J109="","",INDEX(الجزاءات!$E$6:$H$9,MATCH($G109,الجزاءات!$B$6:$B$9,1),MIN($J109,4)))</f>
        <v>1</v>
      </c>
      <c r="L109" s="45"/>
    </row>
    <row r="110" spans="1:12" ht="15.75" customHeight="1" x14ac:dyDescent="0.35">
      <c r="A110" s="31">
        <v>46251</v>
      </c>
      <c r="B110" s="30" t="s">
        <v>245</v>
      </c>
      <c r="C110" s="72" t="str">
        <f>IF($B110="","",IFERROR(INDEX(الموظفون!$C$6:$C$45,MATCH($B110,الموظفون!$B$6:$B$45,0)),""))</f>
        <v>نورة العمري</v>
      </c>
      <c r="D110" s="73">
        <f>IF($B110="","",IFERROR(INDEX(الموظفون!$M$6:$M$45,MATCH($B110,الموظفون!$B$6:$B$45,0)),""))</f>
        <v>0.29166666666666702</v>
      </c>
      <c r="E110" s="49">
        <v>0.31597222222222199</v>
      </c>
      <c r="F110" s="49">
        <v>0.66666666666666696</v>
      </c>
      <c r="G110" s="74">
        <f t="shared" si="2"/>
        <v>35</v>
      </c>
      <c r="H110" s="75">
        <f t="shared" si="3"/>
        <v>8.42</v>
      </c>
      <c r="I110" s="75">
        <f>IF($H110="","",MAX(0,ROUND($H110-الإعدادات!$C$24-الإعدادات!$C$27,2)))</f>
        <v>0</v>
      </c>
      <c r="J110" s="76">
        <f>IF(OR($B110="",$G110="",$G110&lt;=0),"",COUNTIFS($B$6:$B110,$B110,$G$6:$G110,"&gt;0"))</f>
        <v>2</v>
      </c>
      <c r="K110" s="75">
        <f>IF($J110="","",INDEX(الجزاءات!$E$6:$H$9,MATCH($G110,الجزاءات!$B$6:$B$9,1),MIN($J110,4)))</f>
        <v>0.5</v>
      </c>
      <c r="L110" s="45"/>
    </row>
    <row r="111" spans="1:12" ht="15.75" customHeight="1" x14ac:dyDescent="0.35">
      <c r="A111" s="31">
        <v>46251</v>
      </c>
      <c r="B111" s="30" t="s">
        <v>247</v>
      </c>
      <c r="C111" s="72" t="str">
        <f>IF($B111="","",IFERROR(INDEX(الموظفون!$C$6:$C$45,MATCH($B111,الموظفون!$B$6:$B$45,0)),""))</f>
        <v>داليا فؤاد الشناوي</v>
      </c>
      <c r="D111" s="73">
        <f>IF($B111="","",IFERROR(INDEX(الموظفون!$M$6:$M$45,MATCH($B111,الموظفون!$B$6:$B$45,0)),""))</f>
        <v>0.29166666666666702</v>
      </c>
      <c r="E111" s="49">
        <v>0.30555555555555602</v>
      </c>
      <c r="F111" s="49">
        <v>0.66666666666666696</v>
      </c>
      <c r="G111" s="74">
        <f t="shared" si="2"/>
        <v>20</v>
      </c>
      <c r="H111" s="75">
        <f t="shared" si="3"/>
        <v>8.67</v>
      </c>
      <c r="I111" s="75">
        <f>IF($H111="","",MAX(0,ROUND($H111-الإعدادات!$C$24-الإعدادات!$C$27,2)))</f>
        <v>0</v>
      </c>
      <c r="J111" s="76">
        <f>IF(OR($B111="",$G111="",$G111&lt;=0),"",COUNTIFS($B$6:$B111,$B111,$G$6:$G111,"&gt;0"))</f>
        <v>1</v>
      </c>
      <c r="K111" s="75">
        <f>IF($J111="","",INDEX(الجزاءات!$E$6:$H$9,MATCH($G111,الجزاءات!$B$6:$B$9,1),MIN($J111,4)))</f>
        <v>0.1</v>
      </c>
      <c r="L111" s="45"/>
    </row>
    <row r="112" spans="1:12" ht="15.75" customHeight="1" x14ac:dyDescent="0.35">
      <c r="A112" s="31">
        <v>46251</v>
      </c>
      <c r="B112" s="30" t="s">
        <v>252</v>
      </c>
      <c r="C112" s="72" t="str">
        <f>IF($B112="","",IFERROR(INDEX(الموظفون!$C$6:$C$45,MATCH($B112,الموظفون!$B$6:$B$45,0)),""))</f>
        <v>سارة الشريف عبد الله</v>
      </c>
      <c r="D112" s="73">
        <f>IF($B112="","",IFERROR(INDEX(الموظفون!$M$6:$M$45,MATCH($B112,الموظفون!$B$6:$B$45,0)),""))</f>
        <v>0.33333333333333298</v>
      </c>
      <c r="E112" s="49">
        <v>0.35069444444444398</v>
      </c>
      <c r="F112" s="49">
        <v>0.70833333333333304</v>
      </c>
      <c r="G112" s="74">
        <f t="shared" si="2"/>
        <v>25</v>
      </c>
      <c r="H112" s="75">
        <f t="shared" si="3"/>
        <v>8.58</v>
      </c>
      <c r="I112" s="75">
        <f>IF($H112="","",MAX(0,ROUND($H112-الإعدادات!$C$24-الإعدادات!$C$27,2)))</f>
        <v>0</v>
      </c>
      <c r="J112" s="76">
        <f>IF(OR($B112="",$G112="",$G112&lt;=0),"",COUNTIFS($B$6:$B112,$B112,$G$6:$G112,"&gt;0"))</f>
        <v>10</v>
      </c>
      <c r="K112" s="75">
        <f>IF($J112="","",INDEX(الجزاءات!$E$6:$H$9,MATCH($G112,الجزاءات!$B$6:$B$9,1),MIN($J112,4)))</f>
        <v>0.5</v>
      </c>
      <c r="L112" s="45"/>
    </row>
    <row r="113" spans="1:12" ht="15.75" customHeight="1" x14ac:dyDescent="0.35">
      <c r="A113" s="31">
        <v>46251</v>
      </c>
      <c r="B113" s="30" t="s">
        <v>256</v>
      </c>
      <c r="C113" s="72" t="str">
        <f>IF($B113="","",IFERROR(INDEX(الموظفون!$C$6:$C$45,MATCH($B113,الموظفون!$B$6:$B$45,0)),""))</f>
        <v>منى الغزالي</v>
      </c>
      <c r="D113" s="73">
        <f>IF($B113="","",IFERROR(INDEX(الموظفون!$M$6:$M$45,MATCH($B113,الموظفون!$B$6:$B$45,0)),""))</f>
        <v>0.33333333333333298</v>
      </c>
      <c r="E113" s="49">
        <v>0.33680555555555602</v>
      </c>
      <c r="F113" s="49">
        <v>0.70833333333333304</v>
      </c>
      <c r="G113" s="74">
        <f t="shared" si="2"/>
        <v>5</v>
      </c>
      <c r="H113" s="75">
        <f t="shared" si="3"/>
        <v>8.92</v>
      </c>
      <c r="I113" s="75">
        <f>IF($H113="","",MAX(0,ROUND($H113-الإعدادات!$C$24-الإعدادات!$C$27,2)))</f>
        <v>0</v>
      </c>
      <c r="J113" s="76">
        <f>IF(OR($B113="",$G113="",$G113&lt;=0),"",COUNTIFS($B$6:$B113,$B113,$G$6:$G113,"&gt;0"))</f>
        <v>1</v>
      </c>
      <c r="K113" s="75">
        <f>IF($J113="","",INDEX(الجزاءات!$E$6:$H$9,MATCH($G113,الجزاءات!$B$6:$B$9,1),MIN($J113,4)))</f>
        <v>0</v>
      </c>
      <c r="L113" s="45"/>
    </row>
    <row r="114" spans="1:12" ht="15.75" customHeight="1" x14ac:dyDescent="0.35">
      <c r="A114" s="31">
        <v>46251</v>
      </c>
      <c r="B114" s="30" t="s">
        <v>262</v>
      </c>
      <c r="C114" s="72" t="str">
        <f>IF($B114="","",IFERROR(INDEX(الموظفون!$C$6:$C$45,MATCH($B114,الموظفون!$B$6:$B$45,0)),""))</f>
        <v>رانيا الخولي</v>
      </c>
      <c r="D114" s="73">
        <f>IF($B114="","",IFERROR(INDEX(الموظفون!$M$6:$M$45,MATCH($B114,الموظفون!$B$6:$B$45,0)),""))</f>
        <v>0.33333333333333298</v>
      </c>
      <c r="E114" s="49">
        <v>0.33333333333333298</v>
      </c>
      <c r="F114" s="49">
        <v>0.70833333333333304</v>
      </c>
      <c r="G114" s="74">
        <f t="shared" si="2"/>
        <v>0</v>
      </c>
      <c r="H114" s="75">
        <f t="shared" si="3"/>
        <v>9</v>
      </c>
      <c r="I114" s="75">
        <f>IF($H114="","",MAX(0,ROUND($H114-الإعدادات!$C$24-الإعدادات!$C$27,2)))</f>
        <v>0</v>
      </c>
      <c r="J114" s="76" t="str">
        <f>IF(OR($B114="",$G114="",$G114&lt;=0),"",COUNTIFS($B$6:$B114,$B114,$G$6:$G114,"&gt;0"))</f>
        <v/>
      </c>
      <c r="K114" s="75" t="str">
        <f>IF($J114="","",INDEX(الجزاءات!$E$6:$H$9,MATCH($G114,الجزاءات!$B$6:$B$9,1),MIN($J114,4)))</f>
        <v/>
      </c>
      <c r="L114" s="45"/>
    </row>
    <row r="115" spans="1:12" ht="15.75" customHeight="1" x14ac:dyDescent="0.35">
      <c r="A115" s="31">
        <v>46251</v>
      </c>
      <c r="B115" s="30" t="s">
        <v>266</v>
      </c>
      <c r="C115" s="72" t="str">
        <f>IF($B115="","",IFERROR(INDEX(الموظفون!$C$6:$C$45,MATCH($B115,الموظفون!$B$6:$B$45,0)),""))</f>
        <v>مصطفى فهمي عبد الجواد</v>
      </c>
      <c r="D115" s="73">
        <f>IF($B115="","",IFERROR(INDEX(الموظفون!$M$6:$M$45,MATCH($B115,الموظفون!$B$6:$B$45,0)),""))</f>
        <v>0.33333333333333298</v>
      </c>
      <c r="E115" s="49">
        <v>0.34722222222222199</v>
      </c>
      <c r="F115" s="49">
        <v>0.70833333333333304</v>
      </c>
      <c r="G115" s="74">
        <f t="shared" si="2"/>
        <v>20</v>
      </c>
      <c r="H115" s="75">
        <f t="shared" si="3"/>
        <v>8.67</v>
      </c>
      <c r="I115" s="75">
        <f>IF($H115="","",MAX(0,ROUND($H115-الإعدادات!$C$24-الإعدادات!$C$27,2)))</f>
        <v>0</v>
      </c>
      <c r="J115" s="76">
        <f>IF(OR($B115="",$G115="",$G115&lt;=0),"",COUNTIFS($B$6:$B115,$B115,$G$6:$G115,"&gt;0"))</f>
        <v>1</v>
      </c>
      <c r="K115" s="75">
        <f>IF($J115="","",INDEX(الجزاءات!$E$6:$H$9,MATCH($G115,الجزاءات!$B$6:$B$9,1),MIN($J115,4)))</f>
        <v>0.1</v>
      </c>
      <c r="L115" s="45"/>
    </row>
    <row r="116" spans="1:12" ht="15.75" customHeight="1" x14ac:dyDescent="0.35">
      <c r="A116" s="31">
        <v>46251</v>
      </c>
      <c r="B116" s="30" t="s">
        <v>279</v>
      </c>
      <c r="C116" s="72" t="str">
        <f>IF($B116="","",IFERROR(INDEX(الموظفون!$C$6:$C$45,MATCH($B116,الموظفون!$B$6:$B$45,0)),""))</f>
        <v>منال المطيري</v>
      </c>
      <c r="D116" s="73">
        <f>IF($B116="","",IFERROR(INDEX(الموظفون!$M$6:$M$45,MATCH($B116,الموظفون!$B$6:$B$45,0)),""))</f>
        <v>0.35416666666666702</v>
      </c>
      <c r="E116" s="49">
        <v>0.36249999999999999</v>
      </c>
      <c r="F116" s="49">
        <v>0.72916666666666696</v>
      </c>
      <c r="G116" s="74">
        <f t="shared" si="2"/>
        <v>12</v>
      </c>
      <c r="H116" s="75">
        <f t="shared" si="3"/>
        <v>8.8000000000000007</v>
      </c>
      <c r="I116" s="75">
        <f>IF($H116="","",MAX(0,ROUND($H116-الإعدادات!$C$24-الإعدادات!$C$27,2)))</f>
        <v>0</v>
      </c>
      <c r="J116" s="76">
        <f>IF(OR($B116="",$G116="",$G116&lt;=0),"",COUNTIFS($B$6:$B116,$B116,$G$6:$G116,"&gt;0"))</f>
        <v>2</v>
      </c>
      <c r="K116" s="75">
        <f>IF($J116="","",INDEX(الجزاءات!$E$6:$H$9,MATCH($G116,الجزاءات!$B$6:$B$9,1),MIN($J116,4)))</f>
        <v>0.05</v>
      </c>
      <c r="L116" s="45"/>
    </row>
    <row r="117" spans="1:12" ht="15.75" customHeight="1" x14ac:dyDescent="0.35">
      <c r="A117" s="31">
        <v>46251</v>
      </c>
      <c r="B117" s="30" t="s">
        <v>282</v>
      </c>
      <c r="C117" s="72" t="str">
        <f>IF($B117="","",IFERROR(INDEX(الموظفون!$C$6:$C$45,MATCH($B117,الموظفون!$B$6:$B$45,0)),""))</f>
        <v>دلال البلوي</v>
      </c>
      <c r="D117" s="73">
        <f>IF($B117="","",IFERROR(INDEX(الموظفون!$M$6:$M$45,MATCH($B117,الموظفون!$B$6:$B$45,0)),""))</f>
        <v>0.35416666666666702</v>
      </c>
      <c r="E117" s="49">
        <v>0.40972222222222199</v>
      </c>
      <c r="F117" s="49">
        <v>0.72916666666666696</v>
      </c>
      <c r="G117" s="74">
        <f t="shared" si="2"/>
        <v>80</v>
      </c>
      <c r="H117" s="75">
        <f t="shared" si="3"/>
        <v>7.67</v>
      </c>
      <c r="I117" s="75">
        <f>IF($H117="","",MAX(0,ROUND($H117-الإعدادات!$C$24-الإعدادات!$C$27,2)))</f>
        <v>0</v>
      </c>
      <c r="J117" s="76">
        <f>IF(OR($B117="",$G117="",$G117&lt;=0),"",COUNTIFS($B$6:$B117,$B117,$G$6:$G117,"&gt;0"))</f>
        <v>11</v>
      </c>
      <c r="K117" s="75">
        <f>IF($J117="","",INDEX(الجزاءات!$E$6:$H$9,MATCH($G117,الجزاءات!$B$6:$B$9,1),MIN($J117,4)))</f>
        <v>3</v>
      </c>
      <c r="L117" s="45"/>
    </row>
    <row r="118" spans="1:12" ht="15.75" customHeight="1" x14ac:dyDescent="0.35">
      <c r="A118" s="31">
        <v>46252</v>
      </c>
      <c r="B118" s="30" t="s">
        <v>222</v>
      </c>
      <c r="C118" s="72" t="str">
        <f>IF($B118="","",IFERROR(INDEX(الموظفون!$C$6:$C$45,MATCH($B118,الموظفون!$B$6:$B$45,0)),""))</f>
        <v>عبدالله القحطاني</v>
      </c>
      <c r="D118" s="73">
        <f>IF($B118="","",IFERROR(INDEX(الموظفون!$M$6:$M$45,MATCH($B118,الموظفون!$B$6:$B$45,0)),""))</f>
        <v>0.33333333333333298</v>
      </c>
      <c r="E118" s="49">
        <v>0.34722222222222199</v>
      </c>
      <c r="F118" s="49">
        <v>0.70833333333333304</v>
      </c>
      <c r="G118" s="74">
        <f t="shared" si="2"/>
        <v>20</v>
      </c>
      <c r="H118" s="75">
        <f t="shared" si="3"/>
        <v>8.67</v>
      </c>
      <c r="I118" s="75">
        <f>IF($H118="","",MAX(0,ROUND($H118-الإعدادات!$C$24-الإعدادات!$C$27,2)))</f>
        <v>0</v>
      </c>
      <c r="J118" s="76">
        <f>IF(OR($B118="",$G118="",$G118&lt;=0),"",COUNTIFS($B$6:$B118,$B118,$G$6:$G118,"&gt;0"))</f>
        <v>1</v>
      </c>
      <c r="K118" s="75">
        <f>IF($J118="","",INDEX(الجزاءات!$E$6:$H$9,MATCH($G118,الجزاءات!$B$6:$B$9,1),MIN($J118,4)))</f>
        <v>0.1</v>
      </c>
      <c r="L118" s="45"/>
    </row>
    <row r="119" spans="1:12" ht="15.75" customHeight="1" x14ac:dyDescent="0.35">
      <c r="A119" s="31">
        <v>46252</v>
      </c>
      <c r="B119" s="30" t="s">
        <v>228</v>
      </c>
      <c r="C119" s="72" t="str">
        <f>IF($B119="","",IFERROR(INDEX(الموظفون!$C$6:$C$45,MATCH($B119,الموظفون!$B$6:$B$45,0)),""))</f>
        <v>يوسف إبراهيم فؤاد</v>
      </c>
      <c r="D119" s="73">
        <f>IF($B119="","",IFERROR(INDEX(الموظفون!$M$6:$M$45,MATCH($B119,الموظفون!$B$6:$B$45,0)),""))</f>
        <v>0.33333333333333298</v>
      </c>
      <c r="E119" s="49">
        <v>0.36111111111111099</v>
      </c>
      <c r="F119" s="49">
        <v>0.70833333333333304</v>
      </c>
      <c r="G119" s="74">
        <f t="shared" si="2"/>
        <v>40</v>
      </c>
      <c r="H119" s="75">
        <f t="shared" si="3"/>
        <v>8.33</v>
      </c>
      <c r="I119" s="75">
        <f>IF($H119="","",MAX(0,ROUND($H119-الإعدادات!$C$24-الإعدادات!$C$27,2)))</f>
        <v>0</v>
      </c>
      <c r="J119" s="76">
        <f>IF(OR($B119="",$G119="",$G119&lt;=0),"",COUNTIFS($B$6:$B119,$B119,$G$6:$G119,"&gt;0"))</f>
        <v>10</v>
      </c>
      <c r="K119" s="75">
        <f>IF($J119="","",INDEX(الجزاءات!$E$6:$H$9,MATCH($G119,الجزاءات!$B$6:$B$9,1),MIN($J119,4)))</f>
        <v>1</v>
      </c>
      <c r="L119" s="45"/>
    </row>
    <row r="120" spans="1:12" ht="15.75" customHeight="1" x14ac:dyDescent="0.35">
      <c r="A120" s="31">
        <v>46252</v>
      </c>
      <c r="B120" s="30" t="s">
        <v>238</v>
      </c>
      <c r="C120" s="72" t="str">
        <f>IF($B120="","",IFERROR(INDEX(الموظفون!$C$6:$C$45,MATCH($B120,الموظفون!$B$6:$B$45,0)),""))</f>
        <v>عمر شعبان النجار</v>
      </c>
      <c r="D120" s="73">
        <f>IF($B120="","",IFERROR(INDEX(الموظفون!$M$6:$M$45,MATCH($B120,الموظفون!$B$6:$B$45,0)),""))</f>
        <v>0.29166666666666702</v>
      </c>
      <c r="E120" s="49">
        <v>0.29166666666666702</v>
      </c>
      <c r="F120" s="49">
        <v>0.66666666666666696</v>
      </c>
      <c r="G120" s="74">
        <f t="shared" si="2"/>
        <v>0</v>
      </c>
      <c r="H120" s="75">
        <f t="shared" si="3"/>
        <v>9</v>
      </c>
      <c r="I120" s="75">
        <f>IF($H120="","",MAX(0,ROUND($H120-الإعدادات!$C$24-الإعدادات!$C$27,2)))</f>
        <v>0</v>
      </c>
      <c r="J120" s="76" t="str">
        <f>IF(OR($B120="",$G120="",$G120&lt;=0),"",COUNTIFS($B$6:$B120,$B120,$G$6:$G120,"&gt;0"))</f>
        <v/>
      </c>
      <c r="K120" s="75" t="str">
        <f>IF($J120="","",INDEX(الجزاءات!$E$6:$H$9,MATCH($G120,الجزاءات!$B$6:$B$9,1),MIN($J120,4)))</f>
        <v/>
      </c>
      <c r="L120" s="45"/>
    </row>
    <row r="121" spans="1:12" ht="15.75" customHeight="1" x14ac:dyDescent="0.35">
      <c r="A121" s="31">
        <v>46252</v>
      </c>
      <c r="B121" s="30" t="s">
        <v>242</v>
      </c>
      <c r="C121" s="72" t="str">
        <f>IF($B121="","",IFERROR(INDEX(الموظفون!$C$6:$C$45,MATCH($B121,الموظفون!$B$6:$B$45,0)),""))</f>
        <v>ماجد الدوسري</v>
      </c>
      <c r="D121" s="73">
        <f>IF($B121="","",IFERROR(INDEX(الموظفون!$M$6:$M$45,MATCH($B121,الموظفون!$B$6:$B$45,0)),""))</f>
        <v>0.29166666666666702</v>
      </c>
      <c r="E121" s="49">
        <v>0.29166666666666702</v>
      </c>
      <c r="F121" s="49">
        <v>0.66666666666666696</v>
      </c>
      <c r="G121" s="74">
        <f t="shared" si="2"/>
        <v>0</v>
      </c>
      <c r="H121" s="75">
        <f t="shared" si="3"/>
        <v>9</v>
      </c>
      <c r="I121" s="75">
        <f>IF($H121="","",MAX(0,ROUND($H121-الإعدادات!$C$24-الإعدادات!$C$27,2)))</f>
        <v>0</v>
      </c>
      <c r="J121" s="76" t="str">
        <f>IF(OR($B121="",$G121="",$G121&lt;=0),"",COUNTIFS($B$6:$B121,$B121,$G$6:$G121,"&gt;0"))</f>
        <v/>
      </c>
      <c r="K121" s="75" t="str">
        <f>IF($J121="","",INDEX(الجزاءات!$E$6:$H$9,MATCH($G121,الجزاءات!$B$6:$B$9,1),MIN($J121,4)))</f>
        <v/>
      </c>
      <c r="L121" s="45"/>
    </row>
    <row r="122" spans="1:12" ht="15.75" customHeight="1" x14ac:dyDescent="0.35">
      <c r="A122" s="31">
        <v>46252</v>
      </c>
      <c r="B122" s="30" t="s">
        <v>243</v>
      </c>
      <c r="C122" s="72" t="str">
        <f>IF($B122="","",IFERROR(INDEX(الموظفون!$C$6:$C$45,MATCH($B122,الموظفون!$B$6:$B$45,0)),""))</f>
        <v>هبة رمضان عبد الحميد</v>
      </c>
      <c r="D122" s="73">
        <f>IF($B122="","",IFERROR(INDEX(الموظفون!$M$6:$M$45,MATCH($B122,الموظفون!$B$6:$B$45,0)),""))</f>
        <v>0.29166666666666702</v>
      </c>
      <c r="E122" s="49">
        <v>0.32638888888888901</v>
      </c>
      <c r="F122" s="49">
        <v>0.66666666666666696</v>
      </c>
      <c r="G122" s="74">
        <f t="shared" si="2"/>
        <v>50</v>
      </c>
      <c r="H122" s="75">
        <f t="shared" si="3"/>
        <v>8.17</v>
      </c>
      <c r="I122" s="75">
        <f>IF($H122="","",MAX(0,ROUND($H122-الإعدادات!$C$24-الإعدادات!$C$27,2)))</f>
        <v>0</v>
      </c>
      <c r="J122" s="76">
        <f>IF(OR($B122="",$G122="",$G122&lt;=0),"",COUNTIFS($B$6:$B122,$B122,$G$6:$G122,"&gt;0"))</f>
        <v>2</v>
      </c>
      <c r="K122" s="75">
        <f>IF($J122="","",INDEX(الجزاءات!$E$6:$H$9,MATCH($G122,الجزاءات!$B$6:$B$9,1),MIN($J122,4)))</f>
        <v>0.5</v>
      </c>
      <c r="L122" s="45"/>
    </row>
    <row r="123" spans="1:12" ht="15.75" customHeight="1" x14ac:dyDescent="0.35">
      <c r="A123" s="31">
        <v>46252</v>
      </c>
      <c r="B123" s="30" t="s">
        <v>247</v>
      </c>
      <c r="C123" s="72" t="str">
        <f>IF($B123="","",IFERROR(INDEX(الموظفون!$C$6:$C$45,MATCH($B123,الموظفون!$B$6:$B$45,0)),""))</f>
        <v>داليا فؤاد الشناوي</v>
      </c>
      <c r="D123" s="73">
        <f>IF($B123="","",IFERROR(INDEX(الموظفون!$M$6:$M$45,MATCH($B123,الموظفون!$B$6:$B$45,0)),""))</f>
        <v>0.29166666666666702</v>
      </c>
      <c r="E123" s="49">
        <v>0.29166666666666702</v>
      </c>
      <c r="F123" s="49">
        <v>0.66666666666666696</v>
      </c>
      <c r="G123" s="74">
        <f t="shared" si="2"/>
        <v>0</v>
      </c>
      <c r="H123" s="75">
        <f t="shared" si="3"/>
        <v>9</v>
      </c>
      <c r="I123" s="75">
        <f>IF($H123="","",MAX(0,ROUND($H123-الإعدادات!$C$24-الإعدادات!$C$27,2)))</f>
        <v>0</v>
      </c>
      <c r="J123" s="76" t="str">
        <f>IF(OR($B123="",$G123="",$G123&lt;=0),"",COUNTIFS($B$6:$B123,$B123,$G$6:$G123,"&gt;0"))</f>
        <v/>
      </c>
      <c r="K123" s="75" t="str">
        <f>IF($J123="","",INDEX(الجزاءات!$E$6:$H$9,MATCH($G123,الجزاءات!$B$6:$B$9,1),MIN($J123,4)))</f>
        <v/>
      </c>
      <c r="L123" s="45"/>
    </row>
    <row r="124" spans="1:12" ht="15.75" customHeight="1" x14ac:dyDescent="0.35">
      <c r="A124" s="31">
        <v>46252</v>
      </c>
      <c r="B124" s="30" t="s">
        <v>252</v>
      </c>
      <c r="C124" s="72" t="str">
        <f>IF($B124="","",IFERROR(INDEX(الموظفون!$C$6:$C$45,MATCH($B124,الموظفون!$B$6:$B$45,0)),""))</f>
        <v>سارة الشريف عبد الله</v>
      </c>
      <c r="D124" s="73">
        <f>IF($B124="","",IFERROR(INDEX(الموظفون!$M$6:$M$45,MATCH($B124,الموظفون!$B$6:$B$45,0)),""))</f>
        <v>0.33333333333333298</v>
      </c>
      <c r="E124" s="49">
        <v>0.34027777777777801</v>
      </c>
      <c r="F124" s="49">
        <v>0.70833333333333304</v>
      </c>
      <c r="G124" s="74">
        <f t="shared" si="2"/>
        <v>10</v>
      </c>
      <c r="H124" s="75">
        <f t="shared" si="3"/>
        <v>8.83</v>
      </c>
      <c r="I124" s="75">
        <f>IF($H124="","",MAX(0,ROUND($H124-الإعدادات!$C$24-الإعدادات!$C$27,2)))</f>
        <v>0</v>
      </c>
      <c r="J124" s="76">
        <f>IF(OR($B124="",$G124="",$G124&lt;=0),"",COUNTIFS($B$6:$B124,$B124,$G$6:$G124,"&gt;0"))</f>
        <v>11</v>
      </c>
      <c r="K124" s="75">
        <f>IF($J124="","",INDEX(الجزاءات!$E$6:$H$9,MATCH($G124,الجزاءات!$B$6:$B$9,1),MIN($J124,4)))</f>
        <v>0.2</v>
      </c>
      <c r="L124" s="45"/>
    </row>
    <row r="125" spans="1:12" ht="15.75" customHeight="1" x14ac:dyDescent="0.35">
      <c r="A125" s="31">
        <v>46252</v>
      </c>
      <c r="B125" s="30" t="s">
        <v>254</v>
      </c>
      <c r="C125" s="72" t="str">
        <f>IF($B125="","",IFERROR(INDEX(الموظفون!$C$6:$C$45,MATCH($B125,الموظفون!$B$6:$B$45,0)),""))</f>
        <v>ريم القحطاني</v>
      </c>
      <c r="D125" s="73">
        <f>IF($B125="","",IFERROR(INDEX(الموظفون!$M$6:$M$45,MATCH($B125,الموظفون!$B$6:$B$45,0)),""))</f>
        <v>0.33333333333333298</v>
      </c>
      <c r="E125" s="49">
        <v>0.33333333333333298</v>
      </c>
      <c r="F125" s="49">
        <v>0.75</v>
      </c>
      <c r="G125" s="74">
        <f t="shared" si="2"/>
        <v>0</v>
      </c>
      <c r="H125" s="75">
        <f t="shared" si="3"/>
        <v>10</v>
      </c>
      <c r="I125" s="75">
        <f>IF($H125="","",MAX(0,ROUND($H125-الإعدادات!$C$24-الإعدادات!$C$27,2)))</f>
        <v>1</v>
      </c>
      <c r="J125" s="76" t="str">
        <f>IF(OR($B125="",$G125="",$G125&lt;=0),"",COUNTIFS($B$6:$B125,$B125,$G$6:$G125,"&gt;0"))</f>
        <v/>
      </c>
      <c r="K125" s="75" t="str">
        <f>IF($J125="","",INDEX(الجزاءات!$E$6:$H$9,MATCH($G125,الجزاءات!$B$6:$B$9,1),MIN($J125,4)))</f>
        <v/>
      </c>
      <c r="L125" s="45"/>
    </row>
    <row r="126" spans="1:12" ht="15.75" customHeight="1" x14ac:dyDescent="0.35">
      <c r="A126" s="31">
        <v>46252</v>
      </c>
      <c r="B126" s="30" t="s">
        <v>272</v>
      </c>
      <c r="C126" s="72" t="str">
        <f>IF($B126="","",IFERROR(INDEX(الموظفون!$C$6:$C$45,MATCH($B126,الموظفون!$B$6:$B$45,0)),""))</f>
        <v>نايف السبيعي</v>
      </c>
      <c r="D126" s="73">
        <f>IF($B126="","",IFERROR(INDEX(الموظفون!$M$6:$M$45,MATCH($B126,الموظفون!$B$6:$B$45,0)),""))</f>
        <v>0.33333333333333298</v>
      </c>
      <c r="E126" s="49">
        <v>0.33333333333333298</v>
      </c>
      <c r="F126" s="49">
        <v>0.70833333333333304</v>
      </c>
      <c r="G126" s="74">
        <f t="shared" si="2"/>
        <v>0</v>
      </c>
      <c r="H126" s="75">
        <f t="shared" si="3"/>
        <v>9</v>
      </c>
      <c r="I126" s="75">
        <f>IF($H126="","",MAX(0,ROUND($H126-الإعدادات!$C$24-الإعدادات!$C$27,2)))</f>
        <v>0</v>
      </c>
      <c r="J126" s="76" t="str">
        <f>IF(OR($B126="",$G126="",$G126&lt;=0),"",COUNTIFS($B$6:$B126,$B126,$G$6:$G126,"&gt;0"))</f>
        <v/>
      </c>
      <c r="K126" s="75" t="str">
        <f>IF($J126="","",INDEX(الجزاءات!$E$6:$H$9,MATCH($G126,الجزاءات!$B$6:$B$9,1),MIN($J126,4)))</f>
        <v/>
      </c>
      <c r="L126" s="45"/>
    </row>
    <row r="127" spans="1:12" ht="15.75" customHeight="1" x14ac:dyDescent="0.35">
      <c r="A127" s="31">
        <v>46252</v>
      </c>
      <c r="B127" s="30" t="s">
        <v>275</v>
      </c>
      <c r="C127" s="72" t="str">
        <f>IF($B127="","",IFERROR(INDEX(الموظفون!$C$6:$C$45,MATCH($B127,الموظفون!$B$6:$B$45,0)),""))</f>
        <v>إيمان صابر رفعت</v>
      </c>
      <c r="D127" s="73">
        <f>IF($B127="","",IFERROR(INDEX(الموظفون!$M$6:$M$45,MATCH($B127,الموظفون!$B$6:$B$45,0)),""))</f>
        <v>0.35416666666666702</v>
      </c>
      <c r="E127" s="49">
        <v>0.35416666666666702</v>
      </c>
      <c r="F127" s="49">
        <v>0.72916666666666696</v>
      </c>
      <c r="G127" s="74">
        <f t="shared" si="2"/>
        <v>0</v>
      </c>
      <c r="H127" s="75">
        <f t="shared" si="3"/>
        <v>9</v>
      </c>
      <c r="I127" s="75">
        <f>IF($H127="","",MAX(0,ROUND($H127-الإعدادات!$C$24-الإعدادات!$C$27,2)))</f>
        <v>0</v>
      </c>
      <c r="J127" s="76" t="str">
        <f>IF(OR($B127="",$G127="",$G127&lt;=0),"",COUNTIFS($B$6:$B127,$B127,$G$6:$G127,"&gt;0"))</f>
        <v/>
      </c>
      <c r="K127" s="75" t="str">
        <f>IF($J127="","",INDEX(الجزاءات!$E$6:$H$9,MATCH($G127,الجزاءات!$B$6:$B$9,1),MIN($J127,4)))</f>
        <v/>
      </c>
      <c r="L127" s="45"/>
    </row>
    <row r="128" spans="1:12" ht="15.75" customHeight="1" x14ac:dyDescent="0.35">
      <c r="A128" s="31">
        <v>46252</v>
      </c>
      <c r="B128" s="30" t="s">
        <v>282</v>
      </c>
      <c r="C128" s="72" t="str">
        <f>IF($B128="","",IFERROR(INDEX(الموظفون!$C$6:$C$45,MATCH($B128,الموظفون!$B$6:$B$45,0)),""))</f>
        <v>دلال البلوي</v>
      </c>
      <c r="D128" s="73">
        <f>IF($B128="","",IFERROR(INDEX(الموظفون!$M$6:$M$45,MATCH($B128,الموظفون!$B$6:$B$45,0)),""))</f>
        <v>0.35416666666666702</v>
      </c>
      <c r="E128" s="49">
        <v>0.38194444444444398</v>
      </c>
      <c r="F128" s="49">
        <v>0.72916666666666696</v>
      </c>
      <c r="G128" s="74">
        <f t="shared" si="2"/>
        <v>40</v>
      </c>
      <c r="H128" s="75">
        <f t="shared" si="3"/>
        <v>8.33</v>
      </c>
      <c r="I128" s="75">
        <f>IF($H128="","",MAX(0,ROUND($H128-الإعدادات!$C$24-الإعدادات!$C$27,2)))</f>
        <v>0</v>
      </c>
      <c r="J128" s="76">
        <f>IF(OR($B128="",$G128="",$G128&lt;=0),"",COUNTIFS($B$6:$B128,$B128,$G$6:$G128,"&gt;0"))</f>
        <v>12</v>
      </c>
      <c r="K128" s="75">
        <f>IF($J128="","",INDEX(الجزاءات!$E$6:$H$9,MATCH($G128,الجزاءات!$B$6:$B$9,1),MIN($J128,4)))</f>
        <v>1</v>
      </c>
      <c r="L128" s="45"/>
    </row>
    <row r="129" spans="1:12" ht="15.75" customHeight="1" x14ac:dyDescent="0.35">
      <c r="A129" s="31">
        <v>46253</v>
      </c>
      <c r="B129" s="30" t="s">
        <v>215</v>
      </c>
      <c r="C129" s="72" t="str">
        <f>IF($B129="","",IFERROR(INDEX(الموظفون!$C$6:$C$45,MATCH($B129,الموظفون!$B$6:$B$45,0)),""))</f>
        <v>أحمد محمد الشريف</v>
      </c>
      <c r="D129" s="73">
        <f>IF($B129="","",IFERROR(INDEX(الموظفون!$M$6:$M$45,MATCH($B129,الموظفون!$B$6:$B$45,0)),""))</f>
        <v>0.33333333333333298</v>
      </c>
      <c r="E129" s="49">
        <v>0.33333333333333298</v>
      </c>
      <c r="F129" s="49">
        <v>0.70833333333333304</v>
      </c>
      <c r="G129" s="74">
        <f t="shared" si="2"/>
        <v>0</v>
      </c>
      <c r="H129" s="75">
        <f t="shared" si="3"/>
        <v>9</v>
      </c>
      <c r="I129" s="75">
        <f>IF($H129="","",MAX(0,ROUND($H129-الإعدادات!$C$24-الإعدادات!$C$27,2)))</f>
        <v>0</v>
      </c>
      <c r="J129" s="76" t="str">
        <f>IF(OR($B129="",$G129="",$G129&lt;=0),"",COUNTIFS($B$6:$B129,$B129,$G$6:$G129,"&gt;0"))</f>
        <v/>
      </c>
      <c r="K129" s="75" t="str">
        <f>IF($J129="","",INDEX(الجزاءات!$E$6:$H$9,MATCH($G129,الجزاءات!$B$6:$B$9,1),MIN($J129,4)))</f>
        <v/>
      </c>
      <c r="L129" s="45"/>
    </row>
    <row r="130" spans="1:12" ht="15.75" customHeight="1" x14ac:dyDescent="0.35">
      <c r="A130" s="31">
        <v>46253</v>
      </c>
      <c r="B130" s="30" t="s">
        <v>228</v>
      </c>
      <c r="C130" s="72" t="str">
        <f>IF($B130="","",IFERROR(INDEX(الموظفون!$C$6:$C$45,MATCH($B130,الموظفون!$B$6:$B$45,0)),""))</f>
        <v>يوسف إبراهيم فؤاد</v>
      </c>
      <c r="D130" s="73">
        <f>IF($B130="","",IFERROR(INDEX(الموظفون!$M$6:$M$45,MATCH($B130,الموظفون!$B$6:$B$45,0)),""))</f>
        <v>0.33333333333333298</v>
      </c>
      <c r="E130" s="49">
        <v>0.33333333333333298</v>
      </c>
      <c r="F130" s="49">
        <v>0.70833333333333304</v>
      </c>
      <c r="G130" s="74">
        <f t="shared" si="2"/>
        <v>0</v>
      </c>
      <c r="H130" s="75">
        <f t="shared" si="3"/>
        <v>9</v>
      </c>
      <c r="I130" s="75">
        <f>IF($H130="","",MAX(0,ROUND($H130-الإعدادات!$C$24-الإعدادات!$C$27,2)))</f>
        <v>0</v>
      </c>
      <c r="J130" s="76" t="str">
        <f>IF(OR($B130="",$G130="",$G130&lt;=0),"",COUNTIFS($B$6:$B130,$B130,$G$6:$G130,"&gt;0"))</f>
        <v/>
      </c>
      <c r="K130" s="75" t="str">
        <f>IF($J130="","",INDEX(الجزاءات!$E$6:$H$9,MATCH($G130,الجزاءات!$B$6:$B$9,1),MIN($J130,4)))</f>
        <v/>
      </c>
      <c r="L130" s="45"/>
    </row>
    <row r="131" spans="1:12" ht="15.75" customHeight="1" x14ac:dyDescent="0.35">
      <c r="A131" s="31">
        <v>46253</v>
      </c>
      <c r="B131" s="30" t="s">
        <v>234</v>
      </c>
      <c r="C131" s="72" t="str">
        <f>IF($B131="","",IFERROR(INDEX(الموظفون!$C$6:$C$45,MATCH($B131,الموظفون!$B$6:$B$45,0)),""))</f>
        <v>كريم سعيد الخولي</v>
      </c>
      <c r="D131" s="73">
        <f>IF($B131="","",IFERROR(INDEX(الموظفون!$M$6:$M$45,MATCH($B131,الموظفون!$B$6:$B$45,0)),""))</f>
        <v>0.33333333333333298</v>
      </c>
      <c r="E131" s="49">
        <v>0.35763888888888901</v>
      </c>
      <c r="F131" s="49">
        <v>0.70833333333333304</v>
      </c>
      <c r="G131" s="74">
        <f t="shared" si="2"/>
        <v>35</v>
      </c>
      <c r="H131" s="75">
        <f t="shared" si="3"/>
        <v>8.42</v>
      </c>
      <c r="I131" s="75">
        <f>IF($H131="","",MAX(0,ROUND($H131-الإعدادات!$C$24-الإعدادات!$C$27,2)))</f>
        <v>0</v>
      </c>
      <c r="J131" s="76">
        <f>IF(OR($B131="",$G131="",$G131&lt;=0),"",COUNTIFS($B$6:$B131,$B131,$G$6:$G131,"&gt;0"))</f>
        <v>1</v>
      </c>
      <c r="K131" s="75">
        <f>IF($J131="","",INDEX(الجزاءات!$E$6:$H$9,MATCH($G131,الجزاءات!$B$6:$B$9,1),MIN($J131,4)))</f>
        <v>0.25</v>
      </c>
      <c r="L131" s="45"/>
    </row>
    <row r="132" spans="1:12" ht="15.75" customHeight="1" x14ac:dyDescent="0.35">
      <c r="A132" s="31">
        <v>46253</v>
      </c>
      <c r="B132" s="30" t="s">
        <v>243</v>
      </c>
      <c r="C132" s="72" t="str">
        <f>IF($B132="","",IFERROR(INDEX(الموظفون!$C$6:$C$45,MATCH($B132,الموظفون!$B$6:$B$45,0)),""))</f>
        <v>هبة رمضان عبد الحميد</v>
      </c>
      <c r="D132" s="73">
        <f>IF($B132="","",IFERROR(INDEX(الموظفون!$M$6:$M$45,MATCH($B132,الموظفون!$B$6:$B$45,0)),""))</f>
        <v>0.29166666666666702</v>
      </c>
      <c r="E132" s="49">
        <v>0.3</v>
      </c>
      <c r="F132" s="49">
        <v>0.66666666666666696</v>
      </c>
      <c r="G132" s="74">
        <f t="shared" si="2"/>
        <v>12</v>
      </c>
      <c r="H132" s="75">
        <f t="shared" si="3"/>
        <v>8.8000000000000007</v>
      </c>
      <c r="I132" s="75">
        <f>IF($H132="","",MAX(0,ROUND($H132-الإعدادات!$C$24-الإعدادات!$C$27,2)))</f>
        <v>0</v>
      </c>
      <c r="J132" s="76">
        <f>IF(OR($B132="",$G132="",$G132&lt;=0),"",COUNTIFS($B$6:$B132,$B132,$G$6:$G132,"&gt;0"))</f>
        <v>3</v>
      </c>
      <c r="K132" s="75">
        <f>IF($J132="","",INDEX(الجزاءات!$E$6:$H$9,MATCH($G132,الجزاءات!$B$6:$B$9,1),MIN($J132,4)))</f>
        <v>0.1</v>
      </c>
      <c r="L132" s="45"/>
    </row>
    <row r="133" spans="1:12" ht="15.75" customHeight="1" x14ac:dyDescent="0.35">
      <c r="A133" s="31">
        <v>46253</v>
      </c>
      <c r="B133" s="30" t="s">
        <v>252</v>
      </c>
      <c r="C133" s="72" t="str">
        <f>IF($B133="","",IFERROR(INDEX(الموظفون!$C$6:$C$45,MATCH($B133,الموظفون!$B$6:$B$45,0)),""))</f>
        <v>سارة الشريف عبد الله</v>
      </c>
      <c r="D133" s="73">
        <f>IF($B133="","",IFERROR(INDEX(الموظفون!$M$6:$M$45,MATCH($B133,الموظفون!$B$6:$B$45,0)),""))</f>
        <v>0.33333333333333298</v>
      </c>
      <c r="E133" s="49">
        <v>0.36111111111111099</v>
      </c>
      <c r="F133" s="49">
        <v>0.70833333333333304</v>
      </c>
      <c r="G133" s="74">
        <f t="shared" si="2"/>
        <v>40</v>
      </c>
      <c r="H133" s="75">
        <f t="shared" si="3"/>
        <v>8.33</v>
      </c>
      <c r="I133" s="75">
        <f>IF($H133="","",MAX(0,ROUND($H133-الإعدادات!$C$24-الإعدادات!$C$27,2)))</f>
        <v>0</v>
      </c>
      <c r="J133" s="76">
        <f>IF(OR($B133="",$G133="",$G133&lt;=0),"",COUNTIFS($B$6:$B133,$B133,$G$6:$G133,"&gt;0"))</f>
        <v>12</v>
      </c>
      <c r="K133" s="75">
        <f>IF($J133="","",INDEX(الجزاءات!$E$6:$H$9,MATCH($G133,الجزاءات!$B$6:$B$9,1),MIN($J133,4)))</f>
        <v>1</v>
      </c>
      <c r="L133" s="45"/>
    </row>
    <row r="134" spans="1:12" ht="15.75" customHeight="1" x14ac:dyDescent="0.35">
      <c r="A134" s="31">
        <v>46253</v>
      </c>
      <c r="B134" s="30" t="s">
        <v>254</v>
      </c>
      <c r="C134" s="72" t="str">
        <f>IF($B134="","",IFERROR(INDEX(الموظفون!$C$6:$C$45,MATCH($B134,الموظفون!$B$6:$B$45,0)),""))</f>
        <v>ريم القحطاني</v>
      </c>
      <c r="D134" s="73">
        <f>IF($B134="","",IFERROR(INDEX(الموظفون!$M$6:$M$45,MATCH($B134,الموظفون!$B$6:$B$45,0)),""))</f>
        <v>0.33333333333333298</v>
      </c>
      <c r="E134" s="49">
        <v>0.38541666666666702</v>
      </c>
      <c r="F134" s="49">
        <v>0.70833333333333304</v>
      </c>
      <c r="G134" s="74">
        <f t="shared" ref="G134:G197" si="4">IF(OR($B134="",$E134="",$D134=""),"",MAX(0,ROUND(($E134-$D134)*1440,0)))</f>
        <v>75</v>
      </c>
      <c r="H134" s="75">
        <f t="shared" ref="H134:H197" si="5">IF(OR($E134="",$F134=""),"",ROUND(($F134-$E134)*24,2))</f>
        <v>7.75</v>
      </c>
      <c r="I134" s="75">
        <f>IF($H134="","",MAX(0,ROUND($H134-الإعدادات!$C$24-الإعدادات!$C$27,2)))</f>
        <v>0</v>
      </c>
      <c r="J134" s="76">
        <f>IF(OR($B134="",$G134="",$G134&lt;=0),"",COUNTIFS($B$6:$B134,$B134,$G$6:$G134,"&gt;0"))</f>
        <v>2</v>
      </c>
      <c r="K134" s="75">
        <f>IF($J134="","",INDEX(الجزاءات!$E$6:$H$9,MATCH($G134,الجزاءات!$B$6:$B$9,1),MIN($J134,4)))</f>
        <v>1</v>
      </c>
      <c r="L134" s="45"/>
    </row>
    <row r="135" spans="1:12" ht="15.75" customHeight="1" x14ac:dyDescent="0.35">
      <c r="A135" s="31">
        <v>46253</v>
      </c>
      <c r="B135" s="30" t="s">
        <v>262</v>
      </c>
      <c r="C135" s="72" t="str">
        <f>IF($B135="","",IFERROR(INDEX(الموظفون!$C$6:$C$45,MATCH($B135,الموظفون!$B$6:$B$45,0)),""))</f>
        <v>رانيا الخولي</v>
      </c>
      <c r="D135" s="73">
        <f>IF($B135="","",IFERROR(INDEX(الموظفون!$M$6:$M$45,MATCH($B135,الموظفون!$B$6:$B$45,0)),""))</f>
        <v>0.33333333333333298</v>
      </c>
      <c r="E135" s="49">
        <v>0.34166666666666701</v>
      </c>
      <c r="F135" s="49">
        <v>0.70833333333333304</v>
      </c>
      <c r="G135" s="74">
        <f t="shared" si="4"/>
        <v>12</v>
      </c>
      <c r="H135" s="75">
        <f t="shared" si="5"/>
        <v>8.8000000000000007</v>
      </c>
      <c r="I135" s="75">
        <f>IF($H135="","",MAX(0,ROUND($H135-الإعدادات!$C$24-الإعدادات!$C$27,2)))</f>
        <v>0</v>
      </c>
      <c r="J135" s="76">
        <f>IF(OR($B135="",$G135="",$G135&lt;=0),"",COUNTIFS($B$6:$B135,$B135,$G$6:$G135,"&gt;0"))</f>
        <v>3</v>
      </c>
      <c r="K135" s="75">
        <f>IF($J135="","",INDEX(الجزاءات!$E$6:$H$9,MATCH($G135,الجزاءات!$B$6:$B$9,1),MIN($J135,4)))</f>
        <v>0.1</v>
      </c>
      <c r="L135" s="45"/>
    </row>
    <row r="136" spans="1:12" ht="15.75" customHeight="1" x14ac:dyDescent="0.35">
      <c r="A136" s="31">
        <v>46253</v>
      </c>
      <c r="B136" s="30" t="s">
        <v>264</v>
      </c>
      <c r="C136" s="72" t="str">
        <f>IF($B136="","",IFERROR(INDEX(الموظفون!$C$6:$C$45,MATCH($B136,الموظفون!$B$6:$B$45,0)),""))</f>
        <v>أروى العسيري</v>
      </c>
      <c r="D136" s="73">
        <f>IF($B136="","",IFERROR(INDEX(الموظفون!$M$6:$M$45,MATCH($B136,الموظفون!$B$6:$B$45,0)),""))</f>
        <v>0.33333333333333298</v>
      </c>
      <c r="E136" s="49">
        <v>0.35763888888888901</v>
      </c>
      <c r="F136" s="49">
        <v>0.70833333333333304</v>
      </c>
      <c r="G136" s="74">
        <f t="shared" si="4"/>
        <v>35</v>
      </c>
      <c r="H136" s="75">
        <f t="shared" si="5"/>
        <v>8.42</v>
      </c>
      <c r="I136" s="75">
        <f>IF($H136="","",MAX(0,ROUND($H136-الإعدادات!$C$24-الإعدادات!$C$27,2)))</f>
        <v>0</v>
      </c>
      <c r="J136" s="76">
        <f>IF(OR($B136="",$G136="",$G136&lt;=0),"",COUNTIFS($B$6:$B136,$B136,$G$6:$G136,"&gt;0"))</f>
        <v>1</v>
      </c>
      <c r="K136" s="75">
        <f>IF($J136="","",INDEX(الجزاءات!$E$6:$H$9,MATCH($G136,الجزاءات!$B$6:$B$9,1),MIN($J136,4)))</f>
        <v>0.25</v>
      </c>
      <c r="L136" s="45"/>
    </row>
    <row r="137" spans="1:12" ht="15.75" customHeight="1" x14ac:dyDescent="0.35">
      <c r="A137" s="31">
        <v>46253</v>
      </c>
      <c r="B137" s="30" t="s">
        <v>269</v>
      </c>
      <c r="C137" s="72" t="str">
        <f>IF($B137="","",IFERROR(INDEX(الموظفون!$C$6:$C$45,MATCH($B137,الموظفون!$B$6:$B$45,0)),""))</f>
        <v>تركي العنزي</v>
      </c>
      <c r="D137" s="73">
        <f>IF($B137="","",IFERROR(INDEX(الموظفون!$M$6:$M$45,MATCH($B137,الموظفون!$B$6:$B$45,0)),""))</f>
        <v>0.33333333333333298</v>
      </c>
      <c r="E137" s="49">
        <v>0.33333333333333298</v>
      </c>
      <c r="F137" s="49">
        <v>0.70833333333333304</v>
      </c>
      <c r="G137" s="74">
        <f t="shared" si="4"/>
        <v>0</v>
      </c>
      <c r="H137" s="75">
        <f t="shared" si="5"/>
        <v>9</v>
      </c>
      <c r="I137" s="75">
        <f>IF($H137="","",MAX(0,ROUND($H137-الإعدادات!$C$24-الإعدادات!$C$27,2)))</f>
        <v>0</v>
      </c>
      <c r="J137" s="76" t="str">
        <f>IF(OR($B137="",$G137="",$G137&lt;=0),"",COUNTIFS($B$6:$B137,$B137,$G$6:$G137,"&gt;0"))</f>
        <v/>
      </c>
      <c r="K137" s="75" t="str">
        <f>IF($J137="","",INDEX(الجزاءات!$E$6:$H$9,MATCH($G137,الجزاءات!$B$6:$B$9,1),MIN($J137,4)))</f>
        <v/>
      </c>
      <c r="L137" s="45"/>
    </row>
    <row r="138" spans="1:12" ht="15.75" customHeight="1" x14ac:dyDescent="0.35">
      <c r="A138" s="31">
        <v>46253</v>
      </c>
      <c r="B138" s="30" t="s">
        <v>275</v>
      </c>
      <c r="C138" s="72" t="str">
        <f>IF($B138="","",IFERROR(INDEX(الموظفون!$C$6:$C$45,MATCH($B138,الموظفون!$B$6:$B$45,0)),""))</f>
        <v>إيمان صابر رفعت</v>
      </c>
      <c r="D138" s="73">
        <f>IF($B138="","",IFERROR(INDEX(الموظفون!$M$6:$M$45,MATCH($B138,الموظفون!$B$6:$B$45,0)),""))</f>
        <v>0.35416666666666702</v>
      </c>
      <c r="E138" s="49">
        <v>0.35416666666666702</v>
      </c>
      <c r="F138" s="49">
        <v>0.72916666666666696</v>
      </c>
      <c r="G138" s="74">
        <f t="shared" si="4"/>
        <v>0</v>
      </c>
      <c r="H138" s="75">
        <f t="shared" si="5"/>
        <v>9</v>
      </c>
      <c r="I138" s="75">
        <f>IF($H138="","",MAX(0,ROUND($H138-الإعدادات!$C$24-الإعدادات!$C$27,2)))</f>
        <v>0</v>
      </c>
      <c r="J138" s="76" t="str">
        <f>IF(OR($B138="",$G138="",$G138&lt;=0),"",COUNTIFS($B$6:$B138,$B138,$G$6:$G138,"&gt;0"))</f>
        <v/>
      </c>
      <c r="K138" s="75" t="str">
        <f>IF($J138="","",INDEX(الجزاءات!$E$6:$H$9,MATCH($G138,الجزاءات!$B$6:$B$9,1),MIN($J138,4)))</f>
        <v/>
      </c>
      <c r="L138" s="45"/>
    </row>
    <row r="139" spans="1:12" ht="15.75" customHeight="1" x14ac:dyDescent="0.35">
      <c r="A139" s="31">
        <v>46253</v>
      </c>
      <c r="B139" s="30" t="s">
        <v>282</v>
      </c>
      <c r="C139" s="72" t="str">
        <f>IF($B139="","",IFERROR(INDEX(الموظفون!$C$6:$C$45,MATCH($B139,الموظفون!$B$6:$B$45,0)),""))</f>
        <v>دلال البلوي</v>
      </c>
      <c r="D139" s="73">
        <f>IF($B139="","",IFERROR(INDEX(الموظفون!$M$6:$M$45,MATCH($B139,الموظفون!$B$6:$B$45,0)),""))</f>
        <v>0.35416666666666702</v>
      </c>
      <c r="E139" s="49">
        <v>0.39236111111111099</v>
      </c>
      <c r="F139" s="49">
        <v>0.72916666666666696</v>
      </c>
      <c r="G139" s="74">
        <f t="shared" si="4"/>
        <v>55</v>
      </c>
      <c r="H139" s="75">
        <f t="shared" si="5"/>
        <v>8.08</v>
      </c>
      <c r="I139" s="75">
        <f>IF($H139="","",MAX(0,ROUND($H139-الإعدادات!$C$24-الإعدادات!$C$27,2)))</f>
        <v>0</v>
      </c>
      <c r="J139" s="76">
        <f>IF(OR($B139="",$G139="",$G139&lt;=0),"",COUNTIFS($B$6:$B139,$B139,$G$6:$G139,"&gt;0"))</f>
        <v>13</v>
      </c>
      <c r="K139" s="75">
        <f>IF($J139="","",INDEX(الجزاءات!$E$6:$H$9,MATCH($G139,الجزاءات!$B$6:$B$9,1),MIN($J139,4)))</f>
        <v>1</v>
      </c>
      <c r="L139" s="45"/>
    </row>
    <row r="140" spans="1:12" ht="15.75" customHeight="1" x14ac:dyDescent="0.35">
      <c r="A140" s="31">
        <v>46254</v>
      </c>
      <c r="B140" s="30" t="s">
        <v>222</v>
      </c>
      <c r="C140" s="72" t="str">
        <f>IF($B140="","",IFERROR(INDEX(الموظفون!$C$6:$C$45,MATCH($B140,الموظفون!$B$6:$B$45,0)),""))</f>
        <v>عبدالله القحطاني</v>
      </c>
      <c r="D140" s="73">
        <f>IF($B140="","",IFERROR(INDEX(الموظفون!$M$6:$M$45,MATCH($B140,الموظفون!$B$6:$B$45,0)),""))</f>
        <v>0.33333333333333298</v>
      </c>
      <c r="E140" s="49">
        <v>0.33333333333333298</v>
      </c>
      <c r="F140" s="49">
        <v>0.70833333333333304</v>
      </c>
      <c r="G140" s="74">
        <f t="shared" si="4"/>
        <v>0</v>
      </c>
      <c r="H140" s="75">
        <f t="shared" si="5"/>
        <v>9</v>
      </c>
      <c r="I140" s="75">
        <f>IF($H140="","",MAX(0,ROUND($H140-الإعدادات!$C$24-الإعدادات!$C$27,2)))</f>
        <v>0</v>
      </c>
      <c r="J140" s="76" t="str">
        <f>IF(OR($B140="",$G140="",$G140&lt;=0),"",COUNTIFS($B$6:$B140,$B140,$G$6:$G140,"&gt;0"))</f>
        <v/>
      </c>
      <c r="K140" s="75" t="str">
        <f>IF($J140="","",INDEX(الجزاءات!$E$6:$H$9,MATCH($G140,الجزاءات!$B$6:$B$9,1),MIN($J140,4)))</f>
        <v/>
      </c>
      <c r="L140" s="45"/>
    </row>
    <row r="141" spans="1:12" ht="15.75" customHeight="1" x14ac:dyDescent="0.35">
      <c r="A141" s="31">
        <v>46254</v>
      </c>
      <c r="B141" s="30" t="s">
        <v>226</v>
      </c>
      <c r="C141" s="72" t="str">
        <f>IF($B141="","",IFERROR(INDEX(الموظفون!$C$6:$C$45,MATCH($B141,الموظفون!$B$6:$B$45,0)),""))</f>
        <v>فيصل العتيبي</v>
      </c>
      <c r="D141" s="73">
        <f>IF($B141="","",IFERROR(INDEX(الموظفون!$M$6:$M$45,MATCH($B141,الموظفون!$B$6:$B$45,0)),""))</f>
        <v>0.33333333333333298</v>
      </c>
      <c r="E141" s="49">
        <v>0.33333333333333298</v>
      </c>
      <c r="F141" s="49">
        <v>0.70833333333333304</v>
      </c>
      <c r="G141" s="74">
        <f t="shared" si="4"/>
        <v>0</v>
      </c>
      <c r="H141" s="75">
        <f t="shared" si="5"/>
        <v>9</v>
      </c>
      <c r="I141" s="75">
        <f>IF($H141="","",MAX(0,ROUND($H141-الإعدادات!$C$24-الإعدادات!$C$27,2)))</f>
        <v>0</v>
      </c>
      <c r="J141" s="76" t="str">
        <f>IF(OR($B141="",$G141="",$G141&lt;=0),"",COUNTIFS($B$6:$B141,$B141,$G$6:$G141,"&gt;0"))</f>
        <v/>
      </c>
      <c r="K141" s="75" t="str">
        <f>IF($J141="","",INDEX(الجزاءات!$E$6:$H$9,MATCH($G141,الجزاءات!$B$6:$B$9,1),MIN($J141,4)))</f>
        <v/>
      </c>
      <c r="L141" s="45"/>
    </row>
    <row r="142" spans="1:12" ht="15.75" customHeight="1" x14ac:dyDescent="0.35">
      <c r="A142" s="31">
        <v>46254</v>
      </c>
      <c r="B142" s="30" t="s">
        <v>228</v>
      </c>
      <c r="C142" s="72" t="str">
        <f>IF($B142="","",IFERROR(INDEX(الموظفون!$C$6:$C$45,MATCH($B142,الموظفون!$B$6:$B$45,0)),""))</f>
        <v>يوسف إبراهيم فؤاد</v>
      </c>
      <c r="D142" s="73">
        <f>IF($B142="","",IFERROR(INDEX(الموظفون!$M$6:$M$45,MATCH($B142,الموظفون!$B$6:$B$45,0)),""))</f>
        <v>0.33333333333333298</v>
      </c>
      <c r="E142" s="49">
        <v>0.34027777777777801</v>
      </c>
      <c r="F142" s="49">
        <v>0.70833333333333304</v>
      </c>
      <c r="G142" s="74">
        <f t="shared" si="4"/>
        <v>10</v>
      </c>
      <c r="H142" s="75">
        <f t="shared" si="5"/>
        <v>8.83</v>
      </c>
      <c r="I142" s="75">
        <f>IF($H142="","",MAX(0,ROUND($H142-الإعدادات!$C$24-الإعدادات!$C$27,2)))</f>
        <v>0</v>
      </c>
      <c r="J142" s="76">
        <f>IF(OR($B142="",$G142="",$G142&lt;=0),"",COUNTIFS($B$6:$B142,$B142,$G$6:$G142,"&gt;0"))</f>
        <v>11</v>
      </c>
      <c r="K142" s="75">
        <f>IF($J142="","",INDEX(الجزاءات!$E$6:$H$9,MATCH($G142,الجزاءات!$B$6:$B$9,1),MIN($J142,4)))</f>
        <v>0.2</v>
      </c>
      <c r="L142" s="45"/>
    </row>
    <row r="143" spans="1:12" ht="15.75" customHeight="1" x14ac:dyDescent="0.35">
      <c r="A143" s="31">
        <v>46254</v>
      </c>
      <c r="B143" s="30" t="s">
        <v>245</v>
      </c>
      <c r="C143" s="72" t="str">
        <f>IF($B143="","",IFERROR(INDEX(الموظفون!$C$6:$C$45,MATCH($B143,الموظفون!$B$6:$B$45,0)),""))</f>
        <v>نورة العمري</v>
      </c>
      <c r="D143" s="73">
        <f>IF($B143="","",IFERROR(INDEX(الموظفون!$M$6:$M$45,MATCH($B143,الموظفون!$B$6:$B$45,0)),""))</f>
        <v>0.29166666666666702</v>
      </c>
      <c r="E143" s="49">
        <v>0.29166666666666702</v>
      </c>
      <c r="F143" s="49">
        <v>0.66666666666666696</v>
      </c>
      <c r="G143" s="74">
        <f t="shared" si="4"/>
        <v>0</v>
      </c>
      <c r="H143" s="75">
        <f t="shared" si="5"/>
        <v>9</v>
      </c>
      <c r="I143" s="75">
        <f>IF($H143="","",MAX(0,ROUND($H143-الإعدادات!$C$24-الإعدادات!$C$27,2)))</f>
        <v>0</v>
      </c>
      <c r="J143" s="76" t="str">
        <f>IF(OR($B143="",$G143="",$G143&lt;=0),"",COUNTIFS($B$6:$B143,$B143,$G$6:$G143,"&gt;0"))</f>
        <v/>
      </c>
      <c r="K143" s="75" t="str">
        <f>IF($J143="","",INDEX(الجزاءات!$E$6:$H$9,MATCH($G143,الجزاءات!$B$6:$B$9,1),MIN($J143,4)))</f>
        <v/>
      </c>
      <c r="L143" s="45"/>
    </row>
    <row r="144" spans="1:12" ht="15.75" customHeight="1" x14ac:dyDescent="0.35">
      <c r="A144" s="31">
        <v>46254</v>
      </c>
      <c r="B144" s="30" t="s">
        <v>249</v>
      </c>
      <c r="C144" s="72" t="str">
        <f>IF($B144="","",IFERROR(INDEX(الموظفون!$C$6:$C$45,MATCH($B144,الموظفون!$B$6:$B$45,0)),""))</f>
        <v>لطيفة الشهري</v>
      </c>
      <c r="D144" s="73">
        <f>IF($B144="","",IFERROR(INDEX(الموظفون!$M$6:$M$45,MATCH($B144,الموظفون!$B$6:$B$45,0)),""))</f>
        <v>0.33333333333333298</v>
      </c>
      <c r="E144" s="49">
        <v>0.33333333333333298</v>
      </c>
      <c r="F144" s="49">
        <v>0.70833333333333304</v>
      </c>
      <c r="G144" s="74">
        <f t="shared" si="4"/>
        <v>0</v>
      </c>
      <c r="H144" s="75">
        <f t="shared" si="5"/>
        <v>9</v>
      </c>
      <c r="I144" s="75">
        <f>IF($H144="","",MAX(0,ROUND($H144-الإعدادات!$C$24-الإعدادات!$C$27,2)))</f>
        <v>0</v>
      </c>
      <c r="J144" s="76" t="str">
        <f>IF(OR($B144="",$G144="",$G144&lt;=0),"",COUNTIFS($B$6:$B144,$B144,$G$6:$G144,"&gt;0"))</f>
        <v/>
      </c>
      <c r="K144" s="75" t="str">
        <f>IF($J144="","",INDEX(الجزاءات!$E$6:$H$9,MATCH($G144,الجزاءات!$B$6:$B$9,1),MIN($J144,4)))</f>
        <v/>
      </c>
      <c r="L144" s="45"/>
    </row>
    <row r="145" spans="1:12" ht="15.75" customHeight="1" x14ac:dyDescent="0.35">
      <c r="A145" s="31">
        <v>46254</v>
      </c>
      <c r="B145" s="30" t="s">
        <v>252</v>
      </c>
      <c r="C145" s="72" t="str">
        <f>IF($B145="","",IFERROR(INDEX(الموظفون!$C$6:$C$45,MATCH($B145,الموظفون!$B$6:$B$45,0)),""))</f>
        <v>سارة الشريف عبد الله</v>
      </c>
      <c r="D145" s="73">
        <f>IF($B145="","",IFERROR(INDEX(الموظفون!$M$6:$M$45,MATCH($B145,الموظفون!$B$6:$B$45,0)),""))</f>
        <v>0.33333333333333298</v>
      </c>
      <c r="E145" s="49">
        <v>0.34027777777777801</v>
      </c>
      <c r="F145" s="49">
        <v>0.70833333333333304</v>
      </c>
      <c r="G145" s="74">
        <f t="shared" si="4"/>
        <v>10</v>
      </c>
      <c r="H145" s="75">
        <f t="shared" si="5"/>
        <v>8.83</v>
      </c>
      <c r="I145" s="75">
        <f>IF($H145="","",MAX(0,ROUND($H145-الإعدادات!$C$24-الإعدادات!$C$27,2)))</f>
        <v>0</v>
      </c>
      <c r="J145" s="76">
        <f>IF(OR($B145="",$G145="",$G145&lt;=0),"",COUNTIFS($B$6:$B145,$B145,$G$6:$G145,"&gt;0"))</f>
        <v>13</v>
      </c>
      <c r="K145" s="75">
        <f>IF($J145="","",INDEX(الجزاءات!$E$6:$H$9,MATCH($G145,الجزاءات!$B$6:$B$9,1),MIN($J145,4)))</f>
        <v>0.2</v>
      </c>
      <c r="L145" s="45"/>
    </row>
    <row r="146" spans="1:12" ht="15.75" customHeight="1" x14ac:dyDescent="0.35">
      <c r="A146" s="31">
        <v>46254</v>
      </c>
      <c r="B146" s="30" t="s">
        <v>260</v>
      </c>
      <c r="C146" s="72" t="str">
        <f>IF($B146="","",IFERROR(INDEX(الموظفون!$C$6:$C$45,MATCH($B146,الموظفون!$B$6:$B$45,0)),""))</f>
        <v>هيا الغانم</v>
      </c>
      <c r="D146" s="73">
        <f>IF($B146="","",IFERROR(INDEX(الموظفون!$M$6:$M$45,MATCH($B146,الموظفون!$B$6:$B$45,0)),""))</f>
        <v>0.33333333333333298</v>
      </c>
      <c r="E146" s="49">
        <v>0.34722222222222199</v>
      </c>
      <c r="F146" s="49">
        <v>0.70833333333333304</v>
      </c>
      <c r="G146" s="74">
        <f t="shared" si="4"/>
        <v>20</v>
      </c>
      <c r="H146" s="75">
        <f t="shared" si="5"/>
        <v>8.67</v>
      </c>
      <c r="I146" s="75">
        <f>IF($H146="","",MAX(0,ROUND($H146-الإعدادات!$C$24-الإعدادات!$C$27,2)))</f>
        <v>0</v>
      </c>
      <c r="J146" s="76">
        <f>IF(OR($B146="",$G146="",$G146&lt;=0),"",COUNTIFS($B$6:$B146,$B146,$G$6:$G146,"&gt;0"))</f>
        <v>4</v>
      </c>
      <c r="K146" s="75">
        <f>IF($J146="","",INDEX(الجزاءات!$E$6:$H$9,MATCH($G146,الجزاءات!$B$6:$B$9,1),MIN($J146,4)))</f>
        <v>0.5</v>
      </c>
      <c r="L146" s="45"/>
    </row>
    <row r="147" spans="1:12" ht="15.75" customHeight="1" x14ac:dyDescent="0.35">
      <c r="A147" s="31">
        <v>46254</v>
      </c>
      <c r="B147" s="30" t="s">
        <v>272</v>
      </c>
      <c r="C147" s="72" t="str">
        <f>IF($B147="","",IFERROR(INDEX(الموظفون!$C$6:$C$45,MATCH($B147,الموظفون!$B$6:$B$45,0)),""))</f>
        <v>نايف السبيعي</v>
      </c>
      <c r="D147" s="73">
        <f>IF($B147="","",IFERROR(INDEX(الموظفون!$M$6:$M$45,MATCH($B147,الموظفون!$B$6:$B$45,0)),""))</f>
        <v>0.33333333333333298</v>
      </c>
      <c r="E147" s="49">
        <v>0.33333333333333298</v>
      </c>
      <c r="F147" s="49">
        <v>0.70833333333333304</v>
      </c>
      <c r="G147" s="74">
        <f t="shared" si="4"/>
        <v>0</v>
      </c>
      <c r="H147" s="75">
        <f t="shared" si="5"/>
        <v>9</v>
      </c>
      <c r="I147" s="75">
        <f>IF($H147="","",MAX(0,ROUND($H147-الإعدادات!$C$24-الإعدادات!$C$27,2)))</f>
        <v>0</v>
      </c>
      <c r="J147" s="76" t="str">
        <f>IF(OR($B147="",$G147="",$G147&lt;=0),"",COUNTIFS($B$6:$B147,$B147,$G$6:$G147,"&gt;0"))</f>
        <v/>
      </c>
      <c r="K147" s="75" t="str">
        <f>IF($J147="","",INDEX(الجزاءات!$E$6:$H$9,MATCH($G147,الجزاءات!$B$6:$B$9,1),MIN($J147,4)))</f>
        <v/>
      </c>
      <c r="L147" s="45"/>
    </row>
    <row r="148" spans="1:12" ht="15.75" customHeight="1" x14ac:dyDescent="0.35">
      <c r="A148" s="31">
        <v>46254</v>
      </c>
      <c r="B148" s="30" t="s">
        <v>279</v>
      </c>
      <c r="C148" s="72" t="str">
        <f>IF($B148="","",IFERROR(INDEX(الموظفون!$C$6:$C$45,MATCH($B148,الموظفون!$B$6:$B$45,0)),""))</f>
        <v>منال المطيري</v>
      </c>
      <c r="D148" s="73">
        <f>IF($B148="","",IFERROR(INDEX(الموظفون!$M$6:$M$45,MATCH($B148,الموظفون!$B$6:$B$45,0)),""))</f>
        <v>0.35416666666666702</v>
      </c>
      <c r="E148" s="49">
        <v>0.36805555555555602</v>
      </c>
      <c r="F148" s="49">
        <v>0.72916666666666696</v>
      </c>
      <c r="G148" s="74">
        <f t="shared" si="4"/>
        <v>20</v>
      </c>
      <c r="H148" s="75">
        <f t="shared" si="5"/>
        <v>8.67</v>
      </c>
      <c r="I148" s="75">
        <f>IF($H148="","",MAX(0,ROUND($H148-الإعدادات!$C$24-الإعدادات!$C$27,2)))</f>
        <v>0</v>
      </c>
      <c r="J148" s="76">
        <f>IF(OR($B148="",$G148="",$G148&lt;=0),"",COUNTIFS($B$6:$B148,$B148,$G$6:$G148,"&gt;0"))</f>
        <v>3</v>
      </c>
      <c r="K148" s="75">
        <f>IF($J148="","",INDEX(الجزاءات!$E$6:$H$9,MATCH($G148,الجزاءات!$B$6:$B$9,1),MIN($J148,4)))</f>
        <v>0.25</v>
      </c>
      <c r="L148" s="45"/>
    </row>
    <row r="149" spans="1:12" ht="15.75" customHeight="1" x14ac:dyDescent="0.35">
      <c r="A149" s="31">
        <v>46254</v>
      </c>
      <c r="B149" s="30" t="s">
        <v>282</v>
      </c>
      <c r="C149" s="72" t="str">
        <f>IF($B149="","",IFERROR(INDEX(الموظفون!$C$6:$C$45,MATCH($B149,الموظفون!$B$6:$B$45,0)),""))</f>
        <v>دلال البلوي</v>
      </c>
      <c r="D149" s="73">
        <f>IF($B149="","",IFERROR(INDEX(الموظفون!$M$6:$M$45,MATCH($B149,الموظفون!$B$6:$B$45,0)),""))</f>
        <v>0.35416666666666702</v>
      </c>
      <c r="E149" s="49">
        <v>0.39236111111111099</v>
      </c>
      <c r="F149" s="49">
        <v>0.72916666666666696</v>
      </c>
      <c r="G149" s="74">
        <f t="shared" si="4"/>
        <v>55</v>
      </c>
      <c r="H149" s="75">
        <f t="shared" si="5"/>
        <v>8.08</v>
      </c>
      <c r="I149" s="75">
        <f>IF($H149="","",MAX(0,ROUND($H149-الإعدادات!$C$24-الإعدادات!$C$27,2)))</f>
        <v>0</v>
      </c>
      <c r="J149" s="76">
        <f>IF(OR($B149="",$G149="",$G149&lt;=0),"",COUNTIFS($B$6:$B149,$B149,$G$6:$G149,"&gt;0"))</f>
        <v>14</v>
      </c>
      <c r="K149" s="75">
        <f>IF($J149="","",INDEX(الجزاءات!$E$6:$H$9,MATCH($G149,الجزاءات!$B$6:$B$9,1),MIN($J149,4)))</f>
        <v>1</v>
      </c>
      <c r="L149" s="45"/>
    </row>
    <row r="150" spans="1:12" ht="15.75" customHeight="1" x14ac:dyDescent="0.35">
      <c r="A150" s="31">
        <v>46254</v>
      </c>
      <c r="B150" s="30" t="s">
        <v>284</v>
      </c>
      <c r="C150" s="72" t="str">
        <f>IF($B150="","",IFERROR(INDEX(الموظفون!$C$6:$C$45,MATCH($B150,الموظفون!$B$6:$B$45,0)),""))</f>
        <v>نادية عبد الحميد</v>
      </c>
      <c r="D150" s="73">
        <f>IF($B150="","",IFERROR(INDEX(الموظفون!$M$6:$M$45,MATCH($B150,الموظفون!$B$6:$B$45,0)),""))</f>
        <v>0.35416666666666702</v>
      </c>
      <c r="E150" s="49">
        <v>0.35416666666666702</v>
      </c>
      <c r="F150" s="49">
        <v>0.72916666666666696</v>
      </c>
      <c r="G150" s="74">
        <f t="shared" si="4"/>
        <v>0</v>
      </c>
      <c r="H150" s="75">
        <f t="shared" si="5"/>
        <v>9</v>
      </c>
      <c r="I150" s="75">
        <f>IF($H150="","",MAX(0,ROUND($H150-الإعدادات!$C$24-الإعدادات!$C$27,2)))</f>
        <v>0</v>
      </c>
      <c r="J150" s="76" t="str">
        <f>IF(OR($B150="",$G150="",$G150&lt;=0),"",COUNTIFS($B$6:$B150,$B150,$G$6:$G150,"&gt;0"))</f>
        <v/>
      </c>
      <c r="K150" s="75" t="str">
        <f>IF($J150="","",INDEX(الجزاءات!$E$6:$H$9,MATCH($G150,الجزاءات!$B$6:$B$9,1),MIN($J150,4)))</f>
        <v/>
      </c>
      <c r="L150" s="45"/>
    </row>
    <row r="151" spans="1:12" ht="15.75" customHeight="1" x14ac:dyDescent="0.35">
      <c r="A151" s="31">
        <v>46254</v>
      </c>
      <c r="B151" s="30" t="s">
        <v>286</v>
      </c>
      <c r="C151" s="72" t="str">
        <f>IF($B151="","",IFERROR(INDEX(الموظفون!$C$6:$C$45,MATCH($B151,الموظفون!$B$6:$B$45,0)),""))</f>
        <v>مي الفهد</v>
      </c>
      <c r="D151" s="73">
        <f>IF($B151="","",IFERROR(INDEX(الموظفون!$M$6:$M$45,MATCH($B151,الموظفون!$B$6:$B$45,0)),""))</f>
        <v>0.35416666666666702</v>
      </c>
      <c r="E151" s="49">
        <v>0.35763888888888901</v>
      </c>
      <c r="F151" s="49">
        <v>0.72916666666666696</v>
      </c>
      <c r="G151" s="74">
        <f t="shared" si="4"/>
        <v>5</v>
      </c>
      <c r="H151" s="75">
        <f t="shared" si="5"/>
        <v>8.92</v>
      </c>
      <c r="I151" s="75">
        <f>IF($H151="","",MAX(0,ROUND($H151-الإعدادات!$C$24-الإعدادات!$C$27,2)))</f>
        <v>0</v>
      </c>
      <c r="J151" s="76">
        <f>IF(OR($B151="",$G151="",$G151&lt;=0),"",COUNTIFS($B$6:$B151,$B151,$G$6:$G151,"&gt;0"))</f>
        <v>2</v>
      </c>
      <c r="K151" s="75">
        <f>IF($J151="","",INDEX(الجزاءات!$E$6:$H$9,MATCH($G151,الجزاءات!$B$6:$B$9,1),MIN($J151,4)))</f>
        <v>0.05</v>
      </c>
      <c r="L151" s="45"/>
    </row>
    <row r="152" spans="1:12" ht="15.75" customHeight="1" x14ac:dyDescent="0.35">
      <c r="A152" s="31">
        <v>46257</v>
      </c>
      <c r="B152" s="30" t="s">
        <v>215</v>
      </c>
      <c r="C152" s="72" t="str">
        <f>IF($B152="","",IFERROR(INDEX(الموظفون!$C$6:$C$45,MATCH($B152,الموظفون!$B$6:$B$45,0)),""))</f>
        <v>أحمد محمد الشريف</v>
      </c>
      <c r="D152" s="73">
        <f>IF($B152="","",IFERROR(INDEX(الموظفون!$M$6:$M$45,MATCH($B152,الموظفون!$B$6:$B$45,0)),""))</f>
        <v>0.33333333333333298</v>
      </c>
      <c r="E152" s="49">
        <v>0.38541666666666702</v>
      </c>
      <c r="F152" s="49">
        <v>0.70833333333333304</v>
      </c>
      <c r="G152" s="74">
        <f t="shared" si="4"/>
        <v>75</v>
      </c>
      <c r="H152" s="75">
        <f t="shared" si="5"/>
        <v>7.75</v>
      </c>
      <c r="I152" s="75">
        <f>IF($H152="","",MAX(0,ROUND($H152-الإعدادات!$C$24-الإعدادات!$C$27,2)))</f>
        <v>0</v>
      </c>
      <c r="J152" s="76">
        <f>IF(OR($B152="",$G152="",$G152&lt;=0),"",COUNTIFS($B$6:$B152,$B152,$G$6:$G152,"&gt;0"))</f>
        <v>1</v>
      </c>
      <c r="K152" s="75">
        <f>IF($J152="","",INDEX(الجزاءات!$E$6:$H$9,MATCH($G152,الجزاءات!$B$6:$B$9,1),MIN($J152,4)))</f>
        <v>0</v>
      </c>
      <c r="L152" s="45"/>
    </row>
    <row r="153" spans="1:12" ht="15.75" customHeight="1" x14ac:dyDescent="0.35">
      <c r="A153" s="31">
        <v>46257</v>
      </c>
      <c r="B153" s="30" t="s">
        <v>228</v>
      </c>
      <c r="C153" s="72" t="str">
        <f>IF($B153="","",IFERROR(INDEX(الموظفون!$C$6:$C$45,MATCH($B153,الموظفون!$B$6:$B$45,0)),""))</f>
        <v>يوسف إبراهيم فؤاد</v>
      </c>
      <c r="D153" s="73">
        <f>IF($B153="","",IFERROR(INDEX(الموظفون!$M$6:$M$45,MATCH($B153,الموظفون!$B$6:$B$45,0)),""))</f>
        <v>0.33333333333333298</v>
      </c>
      <c r="E153" s="49">
        <v>0.36111111111111099</v>
      </c>
      <c r="F153" s="49">
        <v>0.75</v>
      </c>
      <c r="G153" s="74">
        <f t="shared" si="4"/>
        <v>40</v>
      </c>
      <c r="H153" s="75">
        <f t="shared" si="5"/>
        <v>9.33</v>
      </c>
      <c r="I153" s="75">
        <f>IF($H153="","",MAX(0,ROUND($H153-الإعدادات!$C$24-الإعدادات!$C$27,2)))</f>
        <v>0.33</v>
      </c>
      <c r="J153" s="76">
        <f>IF(OR($B153="",$G153="",$G153&lt;=0),"",COUNTIFS($B$6:$B153,$B153,$G$6:$G153,"&gt;0"))</f>
        <v>12</v>
      </c>
      <c r="K153" s="75">
        <f>IF($J153="","",INDEX(الجزاءات!$E$6:$H$9,MATCH($G153,الجزاءات!$B$6:$B$9,1),MIN($J153,4)))</f>
        <v>1</v>
      </c>
      <c r="L153" s="45"/>
    </row>
    <row r="154" spans="1:12" ht="15.75" customHeight="1" x14ac:dyDescent="0.35">
      <c r="A154" s="31">
        <v>46257</v>
      </c>
      <c r="B154" s="30" t="s">
        <v>243</v>
      </c>
      <c r="C154" s="72" t="str">
        <f>IF($B154="","",IFERROR(INDEX(الموظفون!$C$6:$C$45,MATCH($B154,الموظفون!$B$6:$B$45,0)),""))</f>
        <v>هبة رمضان عبد الحميد</v>
      </c>
      <c r="D154" s="73">
        <f>IF($B154="","",IFERROR(INDEX(الموظفون!$M$6:$M$45,MATCH($B154,الموظفون!$B$6:$B$45,0)),""))</f>
        <v>0.29166666666666702</v>
      </c>
      <c r="E154" s="49">
        <v>0.30555555555555602</v>
      </c>
      <c r="F154" s="49">
        <v>0.66666666666666696</v>
      </c>
      <c r="G154" s="74">
        <f t="shared" si="4"/>
        <v>20</v>
      </c>
      <c r="H154" s="75">
        <f t="shared" si="5"/>
        <v>8.67</v>
      </c>
      <c r="I154" s="75">
        <f>IF($H154="","",MAX(0,ROUND($H154-الإعدادات!$C$24-الإعدادات!$C$27,2)))</f>
        <v>0</v>
      </c>
      <c r="J154" s="76">
        <f>IF(OR($B154="",$G154="",$G154&lt;=0),"",COUNTIFS($B$6:$B154,$B154,$G$6:$G154,"&gt;0"))</f>
        <v>4</v>
      </c>
      <c r="K154" s="75">
        <f>IF($J154="","",INDEX(الجزاءات!$E$6:$H$9,MATCH($G154,الجزاءات!$B$6:$B$9,1),MIN($J154,4)))</f>
        <v>0.5</v>
      </c>
      <c r="L154" s="45"/>
    </row>
    <row r="155" spans="1:12" ht="15.75" customHeight="1" x14ac:dyDescent="0.35">
      <c r="A155" s="31">
        <v>46257</v>
      </c>
      <c r="B155" s="30" t="s">
        <v>245</v>
      </c>
      <c r="C155" s="72" t="str">
        <f>IF($B155="","",IFERROR(INDEX(الموظفون!$C$6:$C$45,MATCH($B155,الموظفون!$B$6:$B$45,0)),""))</f>
        <v>نورة العمري</v>
      </c>
      <c r="D155" s="73">
        <f>IF($B155="","",IFERROR(INDEX(الموظفون!$M$6:$M$45,MATCH($B155,الموظفون!$B$6:$B$45,0)),""))</f>
        <v>0.29166666666666702</v>
      </c>
      <c r="E155" s="49">
        <v>0.29166666666666702</v>
      </c>
      <c r="F155" s="49">
        <v>0.66666666666666696</v>
      </c>
      <c r="G155" s="74">
        <f t="shared" si="4"/>
        <v>0</v>
      </c>
      <c r="H155" s="75">
        <f t="shared" si="5"/>
        <v>9</v>
      </c>
      <c r="I155" s="75">
        <f>IF($H155="","",MAX(0,ROUND($H155-الإعدادات!$C$24-الإعدادات!$C$27,2)))</f>
        <v>0</v>
      </c>
      <c r="J155" s="76" t="str">
        <f>IF(OR($B155="",$G155="",$G155&lt;=0),"",COUNTIFS($B$6:$B155,$B155,$G$6:$G155,"&gt;0"))</f>
        <v/>
      </c>
      <c r="K155" s="75" t="str">
        <f>IF($J155="","",INDEX(الجزاءات!$E$6:$H$9,MATCH($G155,الجزاءات!$B$6:$B$9,1),MIN($J155,4)))</f>
        <v/>
      </c>
      <c r="L155" s="45"/>
    </row>
    <row r="156" spans="1:12" ht="15.75" customHeight="1" x14ac:dyDescent="0.35">
      <c r="A156" s="31">
        <v>46257</v>
      </c>
      <c r="B156" s="30" t="s">
        <v>249</v>
      </c>
      <c r="C156" s="72" t="str">
        <f>IF($B156="","",IFERROR(INDEX(الموظفون!$C$6:$C$45,MATCH($B156,الموظفون!$B$6:$B$45,0)),""))</f>
        <v>لطيفة الشهري</v>
      </c>
      <c r="D156" s="73">
        <f>IF($B156="","",IFERROR(INDEX(الموظفون!$M$6:$M$45,MATCH($B156,الموظفون!$B$6:$B$45,0)),""))</f>
        <v>0.33333333333333298</v>
      </c>
      <c r="E156" s="49">
        <v>0.33333333333333298</v>
      </c>
      <c r="F156" s="49">
        <v>0.70833333333333304</v>
      </c>
      <c r="G156" s="74">
        <f t="shared" si="4"/>
        <v>0</v>
      </c>
      <c r="H156" s="75">
        <f t="shared" si="5"/>
        <v>9</v>
      </c>
      <c r="I156" s="75">
        <f>IF($H156="","",MAX(0,ROUND($H156-الإعدادات!$C$24-الإعدادات!$C$27,2)))</f>
        <v>0</v>
      </c>
      <c r="J156" s="76" t="str">
        <f>IF(OR($B156="",$G156="",$G156&lt;=0),"",COUNTIFS($B$6:$B156,$B156,$G$6:$G156,"&gt;0"))</f>
        <v/>
      </c>
      <c r="K156" s="75" t="str">
        <f>IF($J156="","",INDEX(الجزاءات!$E$6:$H$9,MATCH($G156,الجزاءات!$B$6:$B$9,1),MIN($J156,4)))</f>
        <v/>
      </c>
      <c r="L156" s="45"/>
    </row>
    <row r="157" spans="1:12" ht="15.75" customHeight="1" x14ac:dyDescent="0.35">
      <c r="A157" s="31">
        <v>46257</v>
      </c>
      <c r="B157" s="30" t="s">
        <v>252</v>
      </c>
      <c r="C157" s="72" t="str">
        <f>IF($B157="","",IFERROR(INDEX(الموظفون!$C$6:$C$45,MATCH($B157,الموظفون!$B$6:$B$45,0)),""))</f>
        <v>سارة الشريف عبد الله</v>
      </c>
      <c r="D157" s="73">
        <f>IF($B157="","",IFERROR(INDEX(الموظفون!$M$6:$M$45,MATCH($B157,الموظفون!$B$6:$B$45,0)),""))</f>
        <v>0.33333333333333298</v>
      </c>
      <c r="E157" s="49">
        <v>0.34027777777777801</v>
      </c>
      <c r="F157" s="49">
        <v>0.70833333333333304</v>
      </c>
      <c r="G157" s="74">
        <f t="shared" si="4"/>
        <v>10</v>
      </c>
      <c r="H157" s="75">
        <f t="shared" si="5"/>
        <v>8.83</v>
      </c>
      <c r="I157" s="75">
        <f>IF($H157="","",MAX(0,ROUND($H157-الإعدادات!$C$24-الإعدادات!$C$27,2)))</f>
        <v>0</v>
      </c>
      <c r="J157" s="76">
        <f>IF(OR($B157="",$G157="",$G157&lt;=0),"",COUNTIFS($B$6:$B157,$B157,$G$6:$G157,"&gt;0"))</f>
        <v>14</v>
      </c>
      <c r="K157" s="75">
        <f>IF($J157="","",INDEX(الجزاءات!$E$6:$H$9,MATCH($G157,الجزاءات!$B$6:$B$9,1),MIN($J157,4)))</f>
        <v>0.2</v>
      </c>
      <c r="L157" s="45"/>
    </row>
    <row r="158" spans="1:12" ht="15.75" customHeight="1" x14ac:dyDescent="0.35">
      <c r="A158" s="31">
        <v>46257</v>
      </c>
      <c r="B158" s="30" t="s">
        <v>254</v>
      </c>
      <c r="C158" s="72" t="str">
        <f>IF($B158="","",IFERROR(INDEX(الموظفون!$C$6:$C$45,MATCH($B158,الموظفون!$B$6:$B$45,0)),""))</f>
        <v>ريم القحطاني</v>
      </c>
      <c r="D158" s="73">
        <f>IF($B158="","",IFERROR(INDEX(الموظفون!$M$6:$M$45,MATCH($B158,الموظفون!$B$6:$B$45,0)),""))</f>
        <v>0.33333333333333298</v>
      </c>
      <c r="E158" s="49">
        <v>0.33333333333333298</v>
      </c>
      <c r="F158" s="49">
        <v>0.70833333333333304</v>
      </c>
      <c r="G158" s="74">
        <f t="shared" si="4"/>
        <v>0</v>
      </c>
      <c r="H158" s="75">
        <f t="shared" si="5"/>
        <v>9</v>
      </c>
      <c r="I158" s="75">
        <f>IF($H158="","",MAX(0,ROUND($H158-الإعدادات!$C$24-الإعدادات!$C$27,2)))</f>
        <v>0</v>
      </c>
      <c r="J158" s="76" t="str">
        <f>IF(OR($B158="",$G158="",$G158&lt;=0),"",COUNTIFS($B$6:$B158,$B158,$G$6:$G158,"&gt;0"))</f>
        <v/>
      </c>
      <c r="K158" s="75" t="str">
        <f>IF($J158="","",INDEX(الجزاءات!$E$6:$H$9,MATCH($G158,الجزاءات!$B$6:$B$9,1),MIN($J158,4)))</f>
        <v/>
      </c>
      <c r="L158" s="45"/>
    </row>
    <row r="159" spans="1:12" ht="15.75" customHeight="1" x14ac:dyDescent="0.35">
      <c r="A159" s="31">
        <v>46257</v>
      </c>
      <c r="B159" s="30" t="s">
        <v>262</v>
      </c>
      <c r="C159" s="72" t="str">
        <f>IF($B159="","",IFERROR(INDEX(الموظفون!$C$6:$C$45,MATCH($B159,الموظفون!$B$6:$B$45,0)),""))</f>
        <v>رانيا الخولي</v>
      </c>
      <c r="D159" s="73">
        <f>IF($B159="","",IFERROR(INDEX(الموظفون!$M$6:$M$45,MATCH($B159,الموظفون!$B$6:$B$45,0)),""))</f>
        <v>0.33333333333333298</v>
      </c>
      <c r="E159" s="49">
        <v>0.36805555555555602</v>
      </c>
      <c r="F159" s="49">
        <v>0.70833333333333304</v>
      </c>
      <c r="G159" s="74">
        <f t="shared" si="4"/>
        <v>50</v>
      </c>
      <c r="H159" s="75">
        <f t="shared" si="5"/>
        <v>8.17</v>
      </c>
      <c r="I159" s="75">
        <f>IF($H159="","",MAX(0,ROUND($H159-الإعدادات!$C$24-الإعدادات!$C$27,2)))</f>
        <v>0</v>
      </c>
      <c r="J159" s="76">
        <f>IF(OR($B159="",$G159="",$G159&lt;=0),"",COUNTIFS($B$6:$B159,$B159,$G$6:$G159,"&gt;0"))</f>
        <v>4</v>
      </c>
      <c r="K159" s="75">
        <f>IF($J159="","",INDEX(الجزاءات!$E$6:$H$9,MATCH($G159,الجزاءات!$B$6:$B$9,1),MIN($J159,4)))</f>
        <v>1</v>
      </c>
      <c r="L159" s="45"/>
    </row>
    <row r="160" spans="1:12" ht="15.75" customHeight="1" x14ac:dyDescent="0.35">
      <c r="A160" s="31">
        <v>46257</v>
      </c>
      <c r="B160" s="30" t="s">
        <v>280</v>
      </c>
      <c r="C160" s="72" t="str">
        <f>IF($B160="","",IFERROR(INDEX(الموظفون!$C$6:$C$45,MATCH($B160,الموظفون!$B$6:$B$45,0)),""))</f>
        <v>أميرة زكي الحسيني</v>
      </c>
      <c r="D160" s="73">
        <f>IF($B160="","",IFERROR(INDEX(الموظفون!$M$6:$M$45,MATCH($B160,الموظفون!$B$6:$B$45,0)),""))</f>
        <v>0.35416666666666702</v>
      </c>
      <c r="E160" s="49">
        <v>0.35763888888888901</v>
      </c>
      <c r="F160" s="49">
        <v>0.72916666666666696</v>
      </c>
      <c r="G160" s="74">
        <f t="shared" si="4"/>
        <v>5</v>
      </c>
      <c r="H160" s="75">
        <f t="shared" si="5"/>
        <v>8.92</v>
      </c>
      <c r="I160" s="75">
        <f>IF($H160="","",MAX(0,ROUND($H160-الإعدادات!$C$24-الإعدادات!$C$27,2)))</f>
        <v>0</v>
      </c>
      <c r="J160" s="76">
        <f>IF(OR($B160="",$G160="",$G160&lt;=0),"",COUNTIFS($B$6:$B160,$B160,$G$6:$G160,"&gt;0"))</f>
        <v>1</v>
      </c>
      <c r="K160" s="75">
        <f>IF($J160="","",INDEX(الجزاءات!$E$6:$H$9,MATCH($G160,الجزاءات!$B$6:$B$9,1),MIN($J160,4)))</f>
        <v>0</v>
      </c>
      <c r="L160" s="45"/>
    </row>
    <row r="161" spans="1:12" ht="15.75" customHeight="1" x14ac:dyDescent="0.35">
      <c r="A161" s="31">
        <v>46257</v>
      </c>
      <c r="B161" s="30" t="s">
        <v>282</v>
      </c>
      <c r="C161" s="72" t="str">
        <f>IF($B161="","",IFERROR(INDEX(الموظفون!$C$6:$C$45,MATCH($B161,الموظفون!$B$6:$B$45,0)),""))</f>
        <v>دلال البلوي</v>
      </c>
      <c r="D161" s="73">
        <f>IF($B161="","",IFERROR(INDEX(الموظفون!$M$6:$M$45,MATCH($B161,الموظفون!$B$6:$B$45,0)),""))</f>
        <v>0.35416666666666702</v>
      </c>
      <c r="E161" s="49">
        <v>0.39236111111111099</v>
      </c>
      <c r="F161" s="49">
        <v>0.72916666666666696</v>
      </c>
      <c r="G161" s="74">
        <f t="shared" si="4"/>
        <v>55</v>
      </c>
      <c r="H161" s="75">
        <f t="shared" si="5"/>
        <v>8.08</v>
      </c>
      <c r="I161" s="75">
        <f>IF($H161="","",MAX(0,ROUND($H161-الإعدادات!$C$24-الإعدادات!$C$27,2)))</f>
        <v>0</v>
      </c>
      <c r="J161" s="76">
        <f>IF(OR($B161="",$G161="",$G161&lt;=0),"",COUNTIFS($B$6:$B161,$B161,$G$6:$G161,"&gt;0"))</f>
        <v>15</v>
      </c>
      <c r="K161" s="75">
        <f>IF($J161="","",INDEX(الجزاءات!$E$6:$H$9,MATCH($G161,الجزاءات!$B$6:$B$9,1),MIN($J161,4)))</f>
        <v>1</v>
      </c>
      <c r="L161" s="45"/>
    </row>
    <row r="162" spans="1:12" ht="15.75" customHeight="1" x14ac:dyDescent="0.35">
      <c r="A162" s="31">
        <v>46258</v>
      </c>
      <c r="B162" s="30" t="s">
        <v>226</v>
      </c>
      <c r="C162" s="72" t="str">
        <f>IF($B162="","",IFERROR(INDEX(الموظفون!$C$6:$C$45,MATCH($B162,الموظفون!$B$6:$B$45,0)),""))</f>
        <v>فيصل العتيبي</v>
      </c>
      <c r="D162" s="73">
        <f>IF($B162="","",IFERROR(INDEX(الموظفون!$M$6:$M$45,MATCH($B162,الموظفون!$B$6:$B$45,0)),""))</f>
        <v>0.33333333333333298</v>
      </c>
      <c r="E162" s="49">
        <v>0.34166666666666701</v>
      </c>
      <c r="F162" s="49">
        <v>0.79166666666666696</v>
      </c>
      <c r="G162" s="74">
        <f t="shared" si="4"/>
        <v>12</v>
      </c>
      <c r="H162" s="75">
        <f t="shared" si="5"/>
        <v>10.8</v>
      </c>
      <c r="I162" s="75">
        <f>IF($H162="","",MAX(0,ROUND($H162-الإعدادات!$C$24-الإعدادات!$C$27,2)))</f>
        <v>1.8</v>
      </c>
      <c r="J162" s="76">
        <f>IF(OR($B162="",$G162="",$G162&lt;=0),"",COUNTIFS($B$6:$B162,$B162,$G$6:$G162,"&gt;0"))</f>
        <v>5</v>
      </c>
      <c r="K162" s="75">
        <f>IF($J162="","",INDEX(الجزاءات!$E$6:$H$9,MATCH($G162,الجزاءات!$B$6:$B$9,1),MIN($J162,4)))</f>
        <v>0.2</v>
      </c>
      <c r="L162" s="45"/>
    </row>
    <row r="163" spans="1:12" ht="15.75" customHeight="1" x14ac:dyDescent="0.35">
      <c r="A163" s="31">
        <v>46258</v>
      </c>
      <c r="B163" s="30" t="s">
        <v>228</v>
      </c>
      <c r="C163" s="72" t="str">
        <f>IF($B163="","",IFERROR(INDEX(الموظفون!$C$6:$C$45,MATCH($B163,الموظفون!$B$6:$B$45,0)),""))</f>
        <v>يوسف إبراهيم فؤاد</v>
      </c>
      <c r="D163" s="73">
        <f>IF($B163="","",IFERROR(INDEX(الموظفون!$M$6:$M$45,MATCH($B163,الموظفون!$B$6:$B$45,0)),""))</f>
        <v>0.33333333333333298</v>
      </c>
      <c r="E163" s="49">
        <v>0.33333333333333298</v>
      </c>
      <c r="F163" s="49">
        <v>0.70833333333333304</v>
      </c>
      <c r="G163" s="74">
        <f t="shared" si="4"/>
        <v>0</v>
      </c>
      <c r="H163" s="75">
        <f t="shared" si="5"/>
        <v>9</v>
      </c>
      <c r="I163" s="75">
        <f>IF($H163="","",MAX(0,ROUND($H163-الإعدادات!$C$24-الإعدادات!$C$27,2)))</f>
        <v>0</v>
      </c>
      <c r="J163" s="76" t="str">
        <f>IF(OR($B163="",$G163="",$G163&lt;=0),"",COUNTIFS($B$6:$B163,$B163,$G$6:$G163,"&gt;0"))</f>
        <v/>
      </c>
      <c r="K163" s="75" t="str">
        <f>IF($J163="","",INDEX(الجزاءات!$E$6:$H$9,MATCH($G163,الجزاءات!$B$6:$B$9,1),MIN($J163,4)))</f>
        <v/>
      </c>
      <c r="L163" s="45"/>
    </row>
    <row r="164" spans="1:12" ht="15.75" customHeight="1" x14ac:dyDescent="0.35">
      <c r="A164" s="31">
        <v>46258</v>
      </c>
      <c r="B164" s="30" t="s">
        <v>252</v>
      </c>
      <c r="C164" s="72" t="str">
        <f>IF($B164="","",IFERROR(INDEX(الموظفون!$C$6:$C$45,MATCH($B164,الموظفون!$B$6:$B$45,0)),""))</f>
        <v>سارة الشريف عبد الله</v>
      </c>
      <c r="D164" s="73">
        <f>IF($B164="","",IFERROR(INDEX(الموظفون!$M$6:$M$45,MATCH($B164,الموظفون!$B$6:$B$45,0)),""))</f>
        <v>0.33333333333333298</v>
      </c>
      <c r="E164" s="49">
        <v>0.35069444444444398</v>
      </c>
      <c r="F164" s="49">
        <v>0.70833333333333304</v>
      </c>
      <c r="G164" s="74">
        <f t="shared" si="4"/>
        <v>25</v>
      </c>
      <c r="H164" s="75">
        <f t="shared" si="5"/>
        <v>8.58</v>
      </c>
      <c r="I164" s="75">
        <f>IF($H164="","",MAX(0,ROUND($H164-الإعدادات!$C$24-الإعدادات!$C$27,2)))</f>
        <v>0</v>
      </c>
      <c r="J164" s="76">
        <f>IF(OR($B164="",$G164="",$G164&lt;=0),"",COUNTIFS($B$6:$B164,$B164,$G$6:$G164,"&gt;0"))</f>
        <v>15</v>
      </c>
      <c r="K164" s="75">
        <f>IF($J164="","",INDEX(الجزاءات!$E$6:$H$9,MATCH($G164,الجزاءات!$B$6:$B$9,1),MIN($J164,4)))</f>
        <v>0.5</v>
      </c>
      <c r="L164" s="45"/>
    </row>
    <row r="165" spans="1:12" ht="15.75" customHeight="1" x14ac:dyDescent="0.35">
      <c r="A165" s="31">
        <v>46258</v>
      </c>
      <c r="B165" s="30" t="s">
        <v>256</v>
      </c>
      <c r="C165" s="72" t="str">
        <f>IF($B165="","",IFERROR(INDEX(الموظفون!$C$6:$C$45,MATCH($B165,الموظفون!$B$6:$B$45,0)),""))</f>
        <v>منى الغزالي</v>
      </c>
      <c r="D165" s="73">
        <f>IF($B165="","",IFERROR(INDEX(الموظفون!$M$6:$M$45,MATCH($B165,الموظفون!$B$6:$B$45,0)),""))</f>
        <v>0.33333333333333298</v>
      </c>
      <c r="E165" s="49">
        <v>0.33333333333333298</v>
      </c>
      <c r="F165" s="49">
        <v>0.70833333333333304</v>
      </c>
      <c r="G165" s="74">
        <f t="shared" si="4"/>
        <v>0</v>
      </c>
      <c r="H165" s="75">
        <f t="shared" si="5"/>
        <v>9</v>
      </c>
      <c r="I165" s="75">
        <f>IF($H165="","",MAX(0,ROUND($H165-الإعدادات!$C$24-الإعدادات!$C$27,2)))</f>
        <v>0</v>
      </c>
      <c r="J165" s="76" t="str">
        <f>IF(OR($B165="",$G165="",$G165&lt;=0),"",COUNTIFS($B$6:$B165,$B165,$G$6:$G165,"&gt;0"))</f>
        <v/>
      </c>
      <c r="K165" s="75" t="str">
        <f>IF($J165="","",INDEX(الجزاءات!$E$6:$H$9,MATCH($G165,الجزاءات!$B$6:$B$9,1),MIN($J165,4)))</f>
        <v/>
      </c>
      <c r="L165" s="45"/>
    </row>
    <row r="166" spans="1:12" ht="15.75" customHeight="1" x14ac:dyDescent="0.35">
      <c r="A166" s="31">
        <v>46258</v>
      </c>
      <c r="B166" s="30" t="s">
        <v>260</v>
      </c>
      <c r="C166" s="72" t="str">
        <f>IF($B166="","",IFERROR(INDEX(الموظفون!$C$6:$C$45,MATCH($B166,الموظفون!$B$6:$B$45,0)),""))</f>
        <v>هيا الغانم</v>
      </c>
      <c r="D166" s="73">
        <f>IF($B166="","",IFERROR(INDEX(الموظفون!$M$6:$M$45,MATCH($B166,الموظفون!$B$6:$B$45,0)),""))</f>
        <v>0.33333333333333298</v>
      </c>
      <c r="E166" s="49">
        <v>0.33333333333333298</v>
      </c>
      <c r="F166" s="49">
        <v>0.70833333333333304</v>
      </c>
      <c r="G166" s="74">
        <f t="shared" si="4"/>
        <v>0</v>
      </c>
      <c r="H166" s="75">
        <f t="shared" si="5"/>
        <v>9</v>
      </c>
      <c r="I166" s="75">
        <f>IF($H166="","",MAX(0,ROUND($H166-الإعدادات!$C$24-الإعدادات!$C$27,2)))</f>
        <v>0</v>
      </c>
      <c r="J166" s="76" t="str">
        <f>IF(OR($B166="",$G166="",$G166&lt;=0),"",COUNTIFS($B$6:$B166,$B166,$G$6:$G166,"&gt;0"))</f>
        <v/>
      </c>
      <c r="K166" s="75" t="str">
        <f>IF($J166="","",INDEX(الجزاءات!$E$6:$H$9,MATCH($G166,الجزاءات!$B$6:$B$9,1),MIN($J166,4)))</f>
        <v/>
      </c>
      <c r="L166" s="45"/>
    </row>
    <row r="167" spans="1:12" ht="15.75" customHeight="1" x14ac:dyDescent="0.35">
      <c r="A167" s="31">
        <v>46258</v>
      </c>
      <c r="B167" s="30" t="s">
        <v>272</v>
      </c>
      <c r="C167" s="72" t="str">
        <f>IF($B167="","",IFERROR(INDEX(الموظفون!$C$6:$C$45,MATCH($B167,الموظفون!$B$6:$B$45,0)),""))</f>
        <v>نايف السبيعي</v>
      </c>
      <c r="D167" s="73">
        <f>IF($B167="","",IFERROR(INDEX(الموظفون!$M$6:$M$45,MATCH($B167,الموظفون!$B$6:$B$45,0)),""))</f>
        <v>0.33333333333333298</v>
      </c>
      <c r="E167" s="49">
        <v>0.33680555555555602</v>
      </c>
      <c r="F167" s="49">
        <v>0.70833333333333304</v>
      </c>
      <c r="G167" s="74">
        <f t="shared" si="4"/>
        <v>5</v>
      </c>
      <c r="H167" s="75">
        <f t="shared" si="5"/>
        <v>8.92</v>
      </c>
      <c r="I167" s="75">
        <f>IF($H167="","",MAX(0,ROUND($H167-الإعدادات!$C$24-الإعدادات!$C$27,2)))</f>
        <v>0</v>
      </c>
      <c r="J167" s="76">
        <f>IF(OR($B167="",$G167="",$G167&lt;=0),"",COUNTIFS($B$6:$B167,$B167,$G$6:$G167,"&gt;0"))</f>
        <v>1</v>
      </c>
      <c r="K167" s="75">
        <f>IF($J167="","",INDEX(الجزاءات!$E$6:$H$9,MATCH($G167,الجزاءات!$B$6:$B$9,1),MIN($J167,4)))</f>
        <v>0</v>
      </c>
      <c r="L167" s="45"/>
    </row>
    <row r="168" spans="1:12" ht="15.75" customHeight="1" x14ac:dyDescent="0.35">
      <c r="A168" s="31">
        <v>46258</v>
      </c>
      <c r="B168" s="30" t="s">
        <v>282</v>
      </c>
      <c r="C168" s="72" t="str">
        <f>IF($B168="","",IFERROR(INDEX(الموظفون!$C$6:$C$45,MATCH($B168,الموظفون!$B$6:$B$45,0)),""))</f>
        <v>دلال البلوي</v>
      </c>
      <c r="D168" s="73">
        <f>IF($B168="","",IFERROR(INDEX(الموظفون!$M$6:$M$45,MATCH($B168,الموظفون!$B$6:$B$45,0)),""))</f>
        <v>0.35416666666666702</v>
      </c>
      <c r="E168" s="49">
        <v>0.36666666666666697</v>
      </c>
      <c r="F168" s="49">
        <v>0.77083333333333304</v>
      </c>
      <c r="G168" s="74">
        <f t="shared" si="4"/>
        <v>18</v>
      </c>
      <c r="H168" s="75">
        <f t="shared" si="5"/>
        <v>9.6999999999999993</v>
      </c>
      <c r="I168" s="75">
        <f>IF($H168="","",MAX(0,ROUND($H168-الإعدادات!$C$24-الإعدادات!$C$27,2)))</f>
        <v>0.7</v>
      </c>
      <c r="J168" s="76">
        <f>IF(OR($B168="",$G168="",$G168&lt;=0),"",COUNTIFS($B$6:$B168,$B168,$G$6:$G168,"&gt;0"))</f>
        <v>16</v>
      </c>
      <c r="K168" s="75">
        <f>IF($J168="","",INDEX(الجزاءات!$E$6:$H$9,MATCH($G168,الجزاءات!$B$6:$B$9,1),MIN($J168,4)))</f>
        <v>0.5</v>
      </c>
      <c r="L168" s="45"/>
    </row>
    <row r="169" spans="1:12" ht="15.75" customHeight="1" x14ac:dyDescent="0.35">
      <c r="A169" s="31">
        <v>46258</v>
      </c>
      <c r="B169" s="30" t="s">
        <v>284</v>
      </c>
      <c r="C169" s="72" t="str">
        <f>IF($B169="","",IFERROR(INDEX(الموظفون!$C$6:$C$45,MATCH($B169,الموظفون!$B$6:$B$45,0)),""))</f>
        <v>نادية عبد الحميد</v>
      </c>
      <c r="D169" s="73">
        <f>IF($B169="","",IFERROR(INDEX(الموظفون!$M$6:$M$45,MATCH($B169,الموظفون!$B$6:$B$45,0)),""))</f>
        <v>0.35416666666666702</v>
      </c>
      <c r="E169" s="49">
        <v>0.35416666666666702</v>
      </c>
      <c r="F169" s="49">
        <v>0.72916666666666696</v>
      </c>
      <c r="G169" s="74">
        <f t="shared" si="4"/>
        <v>0</v>
      </c>
      <c r="H169" s="75">
        <f t="shared" si="5"/>
        <v>9</v>
      </c>
      <c r="I169" s="75">
        <f>IF($H169="","",MAX(0,ROUND($H169-الإعدادات!$C$24-الإعدادات!$C$27,2)))</f>
        <v>0</v>
      </c>
      <c r="J169" s="76" t="str">
        <f>IF(OR($B169="",$G169="",$G169&lt;=0),"",COUNTIFS($B$6:$B169,$B169,$G$6:$G169,"&gt;0"))</f>
        <v/>
      </c>
      <c r="K169" s="75" t="str">
        <f>IF($J169="","",INDEX(الجزاءات!$E$6:$H$9,MATCH($G169,الجزاءات!$B$6:$B$9,1),MIN($J169,4)))</f>
        <v/>
      </c>
      <c r="L169" s="45"/>
    </row>
    <row r="170" spans="1:12" ht="15.75" customHeight="1" x14ac:dyDescent="0.35">
      <c r="A170" s="31">
        <v>46258</v>
      </c>
      <c r="B170" s="30" t="s">
        <v>286</v>
      </c>
      <c r="C170" s="72" t="str">
        <f>IF($B170="","",IFERROR(INDEX(الموظفون!$C$6:$C$45,MATCH($B170,الموظفون!$B$6:$B$45,0)),""))</f>
        <v>مي الفهد</v>
      </c>
      <c r="D170" s="73">
        <f>IF($B170="","",IFERROR(INDEX(الموظفون!$M$6:$M$45,MATCH($B170,الموظفون!$B$6:$B$45,0)),""))</f>
        <v>0.35416666666666702</v>
      </c>
      <c r="E170" s="49">
        <v>0.36249999999999999</v>
      </c>
      <c r="F170" s="49">
        <v>0.77083333333333304</v>
      </c>
      <c r="G170" s="74">
        <f t="shared" si="4"/>
        <v>12</v>
      </c>
      <c r="H170" s="75">
        <f t="shared" si="5"/>
        <v>9.8000000000000007</v>
      </c>
      <c r="I170" s="75">
        <f>IF($H170="","",MAX(0,ROUND($H170-الإعدادات!$C$24-الإعدادات!$C$27,2)))</f>
        <v>0.8</v>
      </c>
      <c r="J170" s="76">
        <f>IF(OR($B170="",$G170="",$G170&lt;=0),"",COUNTIFS($B$6:$B170,$B170,$G$6:$G170,"&gt;0"))</f>
        <v>3</v>
      </c>
      <c r="K170" s="75">
        <f>IF($J170="","",INDEX(الجزاءات!$E$6:$H$9,MATCH($G170,الجزاءات!$B$6:$B$9,1),MIN($J170,4)))</f>
        <v>0.1</v>
      </c>
      <c r="L170" s="45"/>
    </row>
    <row r="171" spans="1:12" ht="15.75" customHeight="1" x14ac:dyDescent="0.35">
      <c r="A171" s="31">
        <v>46259</v>
      </c>
      <c r="B171" s="30" t="s">
        <v>228</v>
      </c>
      <c r="C171" s="72" t="str">
        <f>IF($B171="","",IFERROR(INDEX(الموظفون!$C$6:$C$45,MATCH($B171,الموظفون!$B$6:$B$45,0)),""))</f>
        <v>يوسف إبراهيم فؤاد</v>
      </c>
      <c r="D171" s="73">
        <f>IF($B171="","",IFERROR(INDEX(الموظفون!$M$6:$M$45,MATCH($B171,الموظفون!$B$6:$B$45,0)),""))</f>
        <v>0.33333333333333298</v>
      </c>
      <c r="E171" s="49">
        <v>0.34027777777777801</v>
      </c>
      <c r="F171" s="49">
        <v>0.70833333333333304</v>
      </c>
      <c r="G171" s="74">
        <f t="shared" si="4"/>
        <v>10</v>
      </c>
      <c r="H171" s="75">
        <f t="shared" si="5"/>
        <v>8.83</v>
      </c>
      <c r="I171" s="75">
        <f>IF($H171="","",MAX(0,ROUND($H171-الإعدادات!$C$24-الإعدادات!$C$27,2)))</f>
        <v>0</v>
      </c>
      <c r="J171" s="76">
        <f>IF(OR($B171="",$G171="",$G171&lt;=0),"",COUNTIFS($B$6:$B171,$B171,$G$6:$G171,"&gt;0"))</f>
        <v>13</v>
      </c>
      <c r="K171" s="75">
        <f>IF($J171="","",INDEX(الجزاءات!$E$6:$H$9,MATCH($G171,الجزاءات!$B$6:$B$9,1),MIN($J171,4)))</f>
        <v>0.2</v>
      </c>
      <c r="L171" s="45"/>
    </row>
    <row r="172" spans="1:12" ht="15.75" customHeight="1" x14ac:dyDescent="0.35">
      <c r="A172" s="31">
        <v>46259</v>
      </c>
      <c r="B172" s="30" t="s">
        <v>232</v>
      </c>
      <c r="C172" s="72" t="str">
        <f>IF($B172="","",IFERROR(INDEX(الموظفون!$C$6:$C$45,MATCH($B172,الموظفون!$B$6:$B$45,0)),""))</f>
        <v>سلطان الحربي</v>
      </c>
      <c r="D172" s="73">
        <f>IF($B172="","",IFERROR(INDEX(الموظفون!$M$6:$M$45,MATCH($B172,الموظفون!$B$6:$B$45,0)),""))</f>
        <v>0.33333333333333298</v>
      </c>
      <c r="E172" s="49">
        <v>0.34722222222222199</v>
      </c>
      <c r="F172" s="49">
        <v>0.70833333333333304</v>
      </c>
      <c r="G172" s="74">
        <f t="shared" si="4"/>
        <v>20</v>
      </c>
      <c r="H172" s="75">
        <f t="shared" si="5"/>
        <v>8.67</v>
      </c>
      <c r="I172" s="75">
        <f>IF($H172="","",MAX(0,ROUND($H172-الإعدادات!$C$24-الإعدادات!$C$27,2)))</f>
        <v>0</v>
      </c>
      <c r="J172" s="76">
        <f>IF(OR($B172="",$G172="",$G172&lt;=0),"",COUNTIFS($B$6:$B172,$B172,$G$6:$G172,"&gt;0"))</f>
        <v>2</v>
      </c>
      <c r="K172" s="75">
        <f>IF($J172="","",INDEX(الجزاءات!$E$6:$H$9,MATCH($G172,الجزاءات!$B$6:$B$9,1),MIN($J172,4)))</f>
        <v>0.15</v>
      </c>
      <c r="L172" s="45"/>
    </row>
    <row r="173" spans="1:12" ht="15.75" customHeight="1" x14ac:dyDescent="0.35">
      <c r="A173" s="31">
        <v>46259</v>
      </c>
      <c r="B173" s="30" t="s">
        <v>242</v>
      </c>
      <c r="C173" s="72" t="str">
        <f>IF($B173="","",IFERROR(INDEX(الموظفون!$C$6:$C$45,MATCH($B173,الموظفون!$B$6:$B$45,0)),""))</f>
        <v>ماجد الدوسري</v>
      </c>
      <c r="D173" s="73">
        <f>IF($B173="","",IFERROR(INDEX(الموظفون!$M$6:$M$45,MATCH($B173,الموظفون!$B$6:$B$45,0)),""))</f>
        <v>0.29166666666666702</v>
      </c>
      <c r="E173" s="49">
        <v>0.29166666666666702</v>
      </c>
      <c r="F173" s="49">
        <v>0.66666666666666696</v>
      </c>
      <c r="G173" s="74">
        <f t="shared" si="4"/>
        <v>0</v>
      </c>
      <c r="H173" s="75">
        <f t="shared" si="5"/>
        <v>9</v>
      </c>
      <c r="I173" s="75">
        <f>IF($H173="","",MAX(0,ROUND($H173-الإعدادات!$C$24-الإعدادات!$C$27,2)))</f>
        <v>0</v>
      </c>
      <c r="J173" s="76" t="str">
        <f>IF(OR($B173="",$G173="",$G173&lt;=0),"",COUNTIFS($B$6:$B173,$B173,$G$6:$G173,"&gt;0"))</f>
        <v/>
      </c>
      <c r="K173" s="75" t="str">
        <f>IF($J173="","",INDEX(الجزاءات!$E$6:$H$9,MATCH($G173,الجزاءات!$B$6:$B$9,1),MIN($J173,4)))</f>
        <v/>
      </c>
      <c r="L173" s="45"/>
    </row>
    <row r="174" spans="1:12" ht="15.75" customHeight="1" x14ac:dyDescent="0.35">
      <c r="A174" s="31">
        <v>46259</v>
      </c>
      <c r="B174" s="30" t="s">
        <v>252</v>
      </c>
      <c r="C174" s="72" t="str">
        <f>IF($B174="","",IFERROR(INDEX(الموظفون!$C$6:$C$45,MATCH($B174,الموظفون!$B$6:$B$45,0)),""))</f>
        <v>سارة الشريف عبد الله</v>
      </c>
      <c r="D174" s="73">
        <f>IF($B174="","",IFERROR(INDEX(الموظفون!$M$6:$M$45,MATCH($B174,الموظفون!$B$6:$B$45,0)),""))</f>
        <v>0.33333333333333298</v>
      </c>
      <c r="E174" s="49">
        <v>0.37152777777777801</v>
      </c>
      <c r="F174" s="49">
        <v>0.70833333333333304</v>
      </c>
      <c r="G174" s="74">
        <f t="shared" si="4"/>
        <v>55</v>
      </c>
      <c r="H174" s="75">
        <f t="shared" si="5"/>
        <v>8.08</v>
      </c>
      <c r="I174" s="75">
        <f>IF($H174="","",MAX(0,ROUND($H174-الإعدادات!$C$24-الإعدادات!$C$27,2)))</f>
        <v>0</v>
      </c>
      <c r="J174" s="76">
        <f>IF(OR($B174="",$G174="",$G174&lt;=0),"",COUNTIFS($B$6:$B174,$B174,$G$6:$G174,"&gt;0"))</f>
        <v>16</v>
      </c>
      <c r="K174" s="75">
        <f>IF($J174="","",INDEX(الجزاءات!$E$6:$H$9,MATCH($G174,الجزاءات!$B$6:$B$9,1),MIN($J174,4)))</f>
        <v>1</v>
      </c>
      <c r="L174" s="45"/>
    </row>
    <row r="175" spans="1:12" ht="15.75" customHeight="1" x14ac:dyDescent="0.35">
      <c r="A175" s="31">
        <v>46259</v>
      </c>
      <c r="B175" s="30" t="s">
        <v>254</v>
      </c>
      <c r="C175" s="72" t="str">
        <f>IF($B175="","",IFERROR(INDEX(الموظفون!$C$6:$C$45,MATCH($B175,الموظفون!$B$6:$B$45,0)),""))</f>
        <v>ريم القحطاني</v>
      </c>
      <c r="D175" s="73">
        <f>IF($B175="","",IFERROR(INDEX(الموظفون!$M$6:$M$45,MATCH($B175,الموظفون!$B$6:$B$45,0)),""))</f>
        <v>0.33333333333333298</v>
      </c>
      <c r="E175" s="49">
        <v>0.33333333333333298</v>
      </c>
      <c r="F175" s="49">
        <v>0.75</v>
      </c>
      <c r="G175" s="74">
        <f t="shared" si="4"/>
        <v>0</v>
      </c>
      <c r="H175" s="75">
        <f t="shared" si="5"/>
        <v>10</v>
      </c>
      <c r="I175" s="75">
        <f>IF($H175="","",MAX(0,ROUND($H175-الإعدادات!$C$24-الإعدادات!$C$27,2)))</f>
        <v>1</v>
      </c>
      <c r="J175" s="76" t="str">
        <f>IF(OR($B175="",$G175="",$G175&lt;=0),"",COUNTIFS($B$6:$B175,$B175,$G$6:$G175,"&gt;0"))</f>
        <v/>
      </c>
      <c r="K175" s="75" t="str">
        <f>IF($J175="","",INDEX(الجزاءات!$E$6:$H$9,MATCH($G175,الجزاءات!$B$6:$B$9,1),MIN($J175,4)))</f>
        <v/>
      </c>
      <c r="L175" s="45"/>
    </row>
    <row r="176" spans="1:12" ht="15.75" customHeight="1" x14ac:dyDescent="0.35">
      <c r="A176" s="31">
        <v>46259</v>
      </c>
      <c r="B176" s="30" t="s">
        <v>260</v>
      </c>
      <c r="C176" s="72" t="str">
        <f>IF($B176="","",IFERROR(INDEX(الموظفون!$C$6:$C$45,MATCH($B176,الموظفون!$B$6:$B$45,0)),""))</f>
        <v>هيا الغانم</v>
      </c>
      <c r="D176" s="73">
        <f>IF($B176="","",IFERROR(INDEX(الموظفون!$M$6:$M$45,MATCH($B176,الموظفون!$B$6:$B$45,0)),""))</f>
        <v>0.33333333333333298</v>
      </c>
      <c r="E176" s="49">
        <v>0.33680555555555602</v>
      </c>
      <c r="F176" s="49">
        <v>0.70833333333333304</v>
      </c>
      <c r="G176" s="74">
        <f t="shared" si="4"/>
        <v>5</v>
      </c>
      <c r="H176" s="75">
        <f t="shared" si="5"/>
        <v>8.92</v>
      </c>
      <c r="I176" s="75">
        <f>IF($H176="","",MAX(0,ROUND($H176-الإعدادات!$C$24-الإعدادات!$C$27,2)))</f>
        <v>0</v>
      </c>
      <c r="J176" s="76">
        <f>IF(OR($B176="",$G176="",$G176&lt;=0),"",COUNTIFS($B$6:$B176,$B176,$G$6:$G176,"&gt;0"))</f>
        <v>5</v>
      </c>
      <c r="K176" s="75">
        <f>IF($J176="","",INDEX(الجزاءات!$E$6:$H$9,MATCH($G176,الجزاءات!$B$6:$B$9,1),MIN($J176,4)))</f>
        <v>0.2</v>
      </c>
      <c r="L176" s="45"/>
    </row>
    <row r="177" spans="1:12" ht="15.75" customHeight="1" x14ac:dyDescent="0.35">
      <c r="A177" s="31">
        <v>46259</v>
      </c>
      <c r="B177" s="30" t="s">
        <v>264</v>
      </c>
      <c r="C177" s="72" t="str">
        <f>IF($B177="","",IFERROR(INDEX(الموظفون!$C$6:$C$45,MATCH($B177,الموظفون!$B$6:$B$45,0)),""))</f>
        <v>أروى العسيري</v>
      </c>
      <c r="D177" s="73">
        <f>IF($B177="","",IFERROR(INDEX(الموظفون!$M$6:$M$45,MATCH($B177,الموظفون!$B$6:$B$45,0)),""))</f>
        <v>0.33333333333333298</v>
      </c>
      <c r="E177" s="49">
        <v>0.34722222222222199</v>
      </c>
      <c r="F177" s="49">
        <v>0.70833333333333304</v>
      </c>
      <c r="G177" s="74">
        <f t="shared" si="4"/>
        <v>20</v>
      </c>
      <c r="H177" s="75">
        <f t="shared" si="5"/>
        <v>8.67</v>
      </c>
      <c r="I177" s="75">
        <f>IF($H177="","",MAX(0,ROUND($H177-الإعدادات!$C$24-الإعدادات!$C$27,2)))</f>
        <v>0</v>
      </c>
      <c r="J177" s="76">
        <f>IF(OR($B177="",$G177="",$G177&lt;=0),"",COUNTIFS($B$6:$B177,$B177,$G$6:$G177,"&gt;0"))</f>
        <v>2</v>
      </c>
      <c r="K177" s="75">
        <f>IF($J177="","",INDEX(الجزاءات!$E$6:$H$9,MATCH($G177,الجزاءات!$B$6:$B$9,1),MIN($J177,4)))</f>
        <v>0.15</v>
      </c>
      <c r="L177" s="45"/>
    </row>
    <row r="178" spans="1:12" ht="15.75" customHeight="1" x14ac:dyDescent="0.35">
      <c r="A178" s="31">
        <v>46259</v>
      </c>
      <c r="B178" s="30" t="s">
        <v>282</v>
      </c>
      <c r="C178" s="72" t="str">
        <f>IF($B178="","",IFERROR(INDEX(الموظفون!$C$6:$C$45,MATCH($B178,الموظفون!$B$6:$B$45,0)),""))</f>
        <v>دلال البلوي</v>
      </c>
      <c r="D178" s="73">
        <f>IF($B178="","",IFERROR(INDEX(الموظفون!$M$6:$M$45,MATCH($B178,الموظفون!$B$6:$B$45,0)),""))</f>
        <v>0.35416666666666702</v>
      </c>
      <c r="E178" s="49">
        <v>0.40972222222222199</v>
      </c>
      <c r="F178" s="49">
        <v>0.72916666666666696</v>
      </c>
      <c r="G178" s="74">
        <f t="shared" si="4"/>
        <v>80</v>
      </c>
      <c r="H178" s="75">
        <f t="shared" si="5"/>
        <v>7.67</v>
      </c>
      <c r="I178" s="75">
        <f>IF($H178="","",MAX(0,ROUND($H178-الإعدادات!$C$24-الإعدادات!$C$27,2)))</f>
        <v>0</v>
      </c>
      <c r="J178" s="76">
        <f>IF(OR($B178="",$G178="",$G178&lt;=0),"",COUNTIFS($B$6:$B178,$B178,$G$6:$G178,"&gt;0"))</f>
        <v>17</v>
      </c>
      <c r="K178" s="75">
        <f>IF($J178="","",INDEX(الجزاءات!$E$6:$H$9,MATCH($G178,الجزاءات!$B$6:$B$9,1),MIN($J178,4)))</f>
        <v>3</v>
      </c>
      <c r="L178" s="45"/>
    </row>
    <row r="179" spans="1:12" ht="15.75" customHeight="1" x14ac:dyDescent="0.35">
      <c r="A179" s="31">
        <v>46260</v>
      </c>
      <c r="B179" s="30" t="s">
        <v>228</v>
      </c>
      <c r="C179" s="72" t="str">
        <f>IF($B179="","",IFERROR(INDEX(الموظفون!$C$6:$C$45,MATCH($B179,الموظفون!$B$6:$B$45,0)),""))</f>
        <v>يوسف إبراهيم فؤاد</v>
      </c>
      <c r="D179" s="73">
        <f>IF($B179="","",IFERROR(INDEX(الموظفون!$M$6:$M$45,MATCH($B179,الموظفون!$B$6:$B$45,0)),""))</f>
        <v>0.33333333333333298</v>
      </c>
      <c r="E179" s="49">
        <v>0.35069444444444398</v>
      </c>
      <c r="F179" s="49">
        <v>0.70833333333333304</v>
      </c>
      <c r="G179" s="74">
        <f t="shared" si="4"/>
        <v>25</v>
      </c>
      <c r="H179" s="75">
        <f t="shared" si="5"/>
        <v>8.58</v>
      </c>
      <c r="I179" s="75">
        <f>IF($H179="","",MAX(0,ROUND($H179-الإعدادات!$C$24-الإعدادات!$C$27,2)))</f>
        <v>0</v>
      </c>
      <c r="J179" s="76">
        <f>IF(OR($B179="",$G179="",$G179&lt;=0),"",COUNTIFS($B$6:$B179,$B179,$G$6:$G179,"&gt;0"))</f>
        <v>14</v>
      </c>
      <c r="K179" s="75">
        <f>IF($J179="","",INDEX(الجزاءات!$E$6:$H$9,MATCH($G179,الجزاءات!$B$6:$B$9,1),MIN($J179,4)))</f>
        <v>0.5</v>
      </c>
      <c r="L179" s="45"/>
    </row>
    <row r="180" spans="1:12" ht="15.75" customHeight="1" x14ac:dyDescent="0.35">
      <c r="A180" s="31">
        <v>46260</v>
      </c>
      <c r="B180" s="30" t="s">
        <v>242</v>
      </c>
      <c r="C180" s="72" t="str">
        <f>IF($B180="","",IFERROR(INDEX(الموظفون!$C$6:$C$45,MATCH($B180,الموظفون!$B$6:$B$45,0)),""))</f>
        <v>ماجد الدوسري</v>
      </c>
      <c r="D180" s="73">
        <f>IF($B180="","",IFERROR(INDEX(الموظفون!$M$6:$M$45,MATCH($B180,الموظفون!$B$6:$B$45,0)),""))</f>
        <v>0.29166666666666702</v>
      </c>
      <c r="E180" s="49">
        <v>0.32638888888888901</v>
      </c>
      <c r="F180" s="49">
        <v>0.66666666666666696</v>
      </c>
      <c r="G180" s="74">
        <f t="shared" si="4"/>
        <v>50</v>
      </c>
      <c r="H180" s="75">
        <f t="shared" si="5"/>
        <v>8.17</v>
      </c>
      <c r="I180" s="75">
        <f>IF($H180="","",MAX(0,ROUND($H180-الإعدادات!$C$24-الإعدادات!$C$27,2)))</f>
        <v>0</v>
      </c>
      <c r="J180" s="76">
        <f>IF(OR($B180="",$G180="",$G180&lt;=0),"",COUNTIFS($B$6:$B180,$B180,$G$6:$G180,"&gt;0"))</f>
        <v>2</v>
      </c>
      <c r="K180" s="75">
        <f>IF($J180="","",INDEX(الجزاءات!$E$6:$H$9,MATCH($G180,الجزاءات!$B$6:$B$9,1),MIN($J180,4)))</f>
        <v>0.5</v>
      </c>
      <c r="L180" s="45"/>
    </row>
    <row r="181" spans="1:12" ht="15.75" customHeight="1" x14ac:dyDescent="0.35">
      <c r="A181" s="31">
        <v>46260</v>
      </c>
      <c r="B181" s="30" t="s">
        <v>243</v>
      </c>
      <c r="C181" s="72" t="str">
        <f>IF($B181="","",IFERROR(INDEX(الموظفون!$C$6:$C$45,MATCH($B181,الموظفون!$B$6:$B$45,0)),""))</f>
        <v>هبة رمضان عبد الحميد</v>
      </c>
      <c r="D181" s="73">
        <f>IF($B181="","",IFERROR(INDEX(الموظفون!$M$6:$M$45,MATCH($B181,الموظفون!$B$6:$B$45,0)),""))</f>
        <v>0.29166666666666702</v>
      </c>
      <c r="E181" s="49">
        <v>0.29166666666666702</v>
      </c>
      <c r="F181" s="49">
        <v>0.66666666666666696</v>
      </c>
      <c r="G181" s="74">
        <f t="shared" si="4"/>
        <v>0</v>
      </c>
      <c r="H181" s="75">
        <f t="shared" si="5"/>
        <v>9</v>
      </c>
      <c r="I181" s="75">
        <f>IF($H181="","",MAX(0,ROUND($H181-الإعدادات!$C$24-الإعدادات!$C$27,2)))</f>
        <v>0</v>
      </c>
      <c r="J181" s="76" t="str">
        <f>IF(OR($B181="",$G181="",$G181&lt;=0),"",COUNTIFS($B$6:$B181,$B181,$G$6:$G181,"&gt;0"))</f>
        <v/>
      </c>
      <c r="K181" s="75" t="str">
        <f>IF($J181="","",INDEX(الجزاءات!$E$6:$H$9,MATCH($G181,الجزاءات!$B$6:$B$9,1),MIN($J181,4)))</f>
        <v/>
      </c>
      <c r="L181" s="45"/>
    </row>
    <row r="182" spans="1:12" ht="15.75" customHeight="1" x14ac:dyDescent="0.35">
      <c r="A182" s="31">
        <v>46260</v>
      </c>
      <c r="B182" s="30" t="s">
        <v>252</v>
      </c>
      <c r="C182" s="72" t="str">
        <f>IF($B182="","",IFERROR(INDEX(الموظفون!$C$6:$C$45,MATCH($B182,الموظفون!$B$6:$B$45,0)),""))</f>
        <v>سارة الشريف عبد الله</v>
      </c>
      <c r="D182" s="73">
        <f>IF($B182="","",IFERROR(INDEX(الموظفون!$M$6:$M$45,MATCH($B182,الموظفون!$B$6:$B$45,0)),""))</f>
        <v>0.33333333333333298</v>
      </c>
      <c r="E182" s="49">
        <v>0.33333333333333298</v>
      </c>
      <c r="F182" s="49">
        <v>0.70833333333333304</v>
      </c>
      <c r="G182" s="74">
        <f t="shared" si="4"/>
        <v>0</v>
      </c>
      <c r="H182" s="75">
        <f t="shared" si="5"/>
        <v>9</v>
      </c>
      <c r="I182" s="75">
        <f>IF($H182="","",MAX(0,ROUND($H182-الإعدادات!$C$24-الإعدادات!$C$27,2)))</f>
        <v>0</v>
      </c>
      <c r="J182" s="76" t="str">
        <f>IF(OR($B182="",$G182="",$G182&lt;=0),"",COUNTIFS($B$6:$B182,$B182,$G$6:$G182,"&gt;0"))</f>
        <v/>
      </c>
      <c r="K182" s="75" t="str">
        <f>IF($J182="","",INDEX(الجزاءات!$E$6:$H$9,MATCH($G182,الجزاءات!$B$6:$B$9,1),MIN($J182,4)))</f>
        <v/>
      </c>
      <c r="L182" s="45"/>
    </row>
    <row r="183" spans="1:12" ht="15.75" customHeight="1" x14ac:dyDescent="0.35">
      <c r="A183" s="31">
        <v>46260</v>
      </c>
      <c r="B183" s="30" t="s">
        <v>262</v>
      </c>
      <c r="C183" s="72" t="str">
        <f>IF($B183="","",IFERROR(INDEX(الموظفون!$C$6:$C$45,MATCH($B183,الموظفون!$B$6:$B$45,0)),""))</f>
        <v>رانيا الخولي</v>
      </c>
      <c r="D183" s="73">
        <f>IF($B183="","",IFERROR(INDEX(الموظفون!$M$6:$M$45,MATCH($B183,الموظفون!$B$6:$B$45,0)),""))</f>
        <v>0.33333333333333298</v>
      </c>
      <c r="E183" s="49">
        <v>0.33333333333333298</v>
      </c>
      <c r="F183" s="49">
        <v>0.70833333333333304</v>
      </c>
      <c r="G183" s="74">
        <f t="shared" si="4"/>
        <v>0</v>
      </c>
      <c r="H183" s="75">
        <f t="shared" si="5"/>
        <v>9</v>
      </c>
      <c r="I183" s="75">
        <f>IF($H183="","",MAX(0,ROUND($H183-الإعدادات!$C$24-الإعدادات!$C$27,2)))</f>
        <v>0</v>
      </c>
      <c r="J183" s="76" t="str">
        <f>IF(OR($B183="",$G183="",$G183&lt;=0),"",COUNTIFS($B$6:$B183,$B183,$G$6:$G183,"&gt;0"))</f>
        <v/>
      </c>
      <c r="K183" s="75" t="str">
        <f>IF($J183="","",INDEX(الجزاءات!$E$6:$H$9,MATCH($G183,الجزاءات!$B$6:$B$9,1),MIN($J183,4)))</f>
        <v/>
      </c>
      <c r="L183" s="45"/>
    </row>
    <row r="184" spans="1:12" ht="15.75" customHeight="1" x14ac:dyDescent="0.35">
      <c r="A184" s="31">
        <v>46260</v>
      </c>
      <c r="B184" s="30" t="s">
        <v>266</v>
      </c>
      <c r="C184" s="72" t="str">
        <f>IF($B184="","",IFERROR(INDEX(الموظفون!$C$6:$C$45,MATCH($B184,الموظفون!$B$6:$B$45,0)),""))</f>
        <v>مصطفى فهمي عبد الجواد</v>
      </c>
      <c r="D184" s="73">
        <f>IF($B184="","",IFERROR(INDEX(الموظفون!$M$6:$M$45,MATCH($B184,الموظفون!$B$6:$B$45,0)),""))</f>
        <v>0.33333333333333298</v>
      </c>
      <c r="E184" s="49">
        <v>0.36805555555555602</v>
      </c>
      <c r="F184" s="49">
        <v>0.70833333333333304</v>
      </c>
      <c r="G184" s="74">
        <f t="shared" si="4"/>
        <v>50</v>
      </c>
      <c r="H184" s="75">
        <f t="shared" si="5"/>
        <v>8.17</v>
      </c>
      <c r="I184" s="75">
        <f>IF($H184="","",MAX(0,ROUND($H184-الإعدادات!$C$24-الإعدادات!$C$27,2)))</f>
        <v>0</v>
      </c>
      <c r="J184" s="76">
        <f>IF(OR($B184="",$G184="",$G184&lt;=0),"",COUNTIFS($B$6:$B184,$B184,$G$6:$G184,"&gt;0"))</f>
        <v>2</v>
      </c>
      <c r="K184" s="75">
        <f>IF($J184="","",INDEX(الجزاءات!$E$6:$H$9,MATCH($G184,الجزاءات!$B$6:$B$9,1),MIN($J184,4)))</f>
        <v>0.5</v>
      </c>
      <c r="L184" s="45"/>
    </row>
    <row r="185" spans="1:12" ht="15.75" customHeight="1" x14ac:dyDescent="0.35">
      <c r="A185" s="31">
        <v>46260</v>
      </c>
      <c r="B185" s="30" t="s">
        <v>269</v>
      </c>
      <c r="C185" s="72" t="str">
        <f>IF($B185="","",IFERROR(INDEX(الموظفون!$C$6:$C$45,MATCH($B185,الموظفون!$B$6:$B$45,0)),""))</f>
        <v>تركي العنزي</v>
      </c>
      <c r="D185" s="73">
        <f>IF($B185="","",IFERROR(INDEX(الموظفون!$M$6:$M$45,MATCH($B185,الموظفون!$B$6:$B$45,0)),""))</f>
        <v>0.33333333333333298</v>
      </c>
      <c r="E185" s="49">
        <v>0.33333333333333298</v>
      </c>
      <c r="F185" s="49">
        <v>0.70833333333333304</v>
      </c>
      <c r="G185" s="74">
        <f t="shared" si="4"/>
        <v>0</v>
      </c>
      <c r="H185" s="75">
        <f t="shared" si="5"/>
        <v>9</v>
      </c>
      <c r="I185" s="75">
        <f>IF($H185="","",MAX(0,ROUND($H185-الإعدادات!$C$24-الإعدادات!$C$27,2)))</f>
        <v>0</v>
      </c>
      <c r="J185" s="76" t="str">
        <f>IF(OR($B185="",$G185="",$G185&lt;=0),"",COUNTIFS($B$6:$B185,$B185,$G$6:$G185,"&gt;0"))</f>
        <v/>
      </c>
      <c r="K185" s="75" t="str">
        <f>IF($J185="","",INDEX(الجزاءات!$E$6:$H$9,MATCH($G185,الجزاءات!$B$6:$B$9,1),MIN($J185,4)))</f>
        <v/>
      </c>
      <c r="L185" s="45"/>
    </row>
    <row r="186" spans="1:12" ht="15.75" customHeight="1" x14ac:dyDescent="0.35">
      <c r="A186" s="31">
        <v>46260</v>
      </c>
      <c r="B186" s="30" t="s">
        <v>282</v>
      </c>
      <c r="C186" s="72" t="str">
        <f>IF($B186="","",IFERROR(INDEX(الموظفون!$C$6:$C$45,MATCH($B186,الموظفون!$B$6:$B$45,0)),""))</f>
        <v>دلال البلوي</v>
      </c>
      <c r="D186" s="73">
        <f>IF($B186="","",IFERROR(INDEX(الموظفون!$M$6:$M$45,MATCH($B186,الموظفون!$B$6:$B$45,0)),""))</f>
        <v>0.35416666666666702</v>
      </c>
      <c r="E186" s="49">
        <v>0.35416666666666702</v>
      </c>
      <c r="F186" s="49">
        <v>0.8125</v>
      </c>
      <c r="G186" s="74">
        <f t="shared" si="4"/>
        <v>0</v>
      </c>
      <c r="H186" s="75">
        <f t="shared" si="5"/>
        <v>11</v>
      </c>
      <c r="I186" s="75">
        <f>IF($H186="","",MAX(0,ROUND($H186-الإعدادات!$C$24-الإعدادات!$C$27,2)))</f>
        <v>2</v>
      </c>
      <c r="J186" s="76" t="str">
        <f>IF(OR($B186="",$G186="",$G186&lt;=0),"",COUNTIFS($B$6:$B186,$B186,$G$6:$G186,"&gt;0"))</f>
        <v/>
      </c>
      <c r="K186" s="75" t="str">
        <f>IF($J186="","",INDEX(الجزاءات!$E$6:$H$9,MATCH($G186,الجزاءات!$B$6:$B$9,1),MIN($J186,4)))</f>
        <v/>
      </c>
      <c r="L186" s="45"/>
    </row>
    <row r="187" spans="1:12" ht="15.75" customHeight="1" x14ac:dyDescent="0.35">
      <c r="A187" s="31">
        <v>46260</v>
      </c>
      <c r="B187" s="30" t="s">
        <v>284</v>
      </c>
      <c r="C187" s="72" t="str">
        <f>IF($B187="","",IFERROR(INDEX(الموظفون!$C$6:$C$45,MATCH($B187,الموظفون!$B$6:$B$45,0)),""))</f>
        <v>نادية عبد الحميد</v>
      </c>
      <c r="D187" s="73">
        <f>IF($B187="","",IFERROR(INDEX(الموظفون!$M$6:$M$45,MATCH($B187,الموظفون!$B$6:$B$45,0)),""))</f>
        <v>0.35416666666666702</v>
      </c>
      <c r="E187" s="49">
        <v>0.36249999999999999</v>
      </c>
      <c r="F187" s="49">
        <v>0.72916666666666696</v>
      </c>
      <c r="G187" s="74">
        <f t="shared" si="4"/>
        <v>12</v>
      </c>
      <c r="H187" s="75">
        <f t="shared" si="5"/>
        <v>8.8000000000000007</v>
      </c>
      <c r="I187" s="75">
        <f>IF($H187="","",MAX(0,ROUND($H187-الإعدادات!$C$24-الإعدادات!$C$27,2)))</f>
        <v>0</v>
      </c>
      <c r="J187" s="76">
        <f>IF(OR($B187="",$G187="",$G187&lt;=0),"",COUNTIFS($B$6:$B187,$B187,$G$6:$G187,"&gt;0"))</f>
        <v>2</v>
      </c>
      <c r="K187" s="75">
        <f>IF($J187="","",INDEX(الجزاءات!$E$6:$H$9,MATCH($G187,الجزاءات!$B$6:$B$9,1),MIN($J187,4)))</f>
        <v>0.05</v>
      </c>
      <c r="L187" s="45"/>
    </row>
    <row r="188" spans="1:12" ht="15.75" customHeight="1" x14ac:dyDescent="0.35">
      <c r="A188" s="31">
        <v>46261</v>
      </c>
      <c r="B188" s="30" t="s">
        <v>228</v>
      </c>
      <c r="C188" s="72" t="str">
        <f>IF($B188="","",IFERROR(INDEX(الموظفون!$C$6:$C$45,MATCH($B188,الموظفون!$B$6:$B$45,0)),""))</f>
        <v>يوسف إبراهيم فؤاد</v>
      </c>
      <c r="D188" s="73">
        <f>IF($B188="","",IFERROR(INDEX(الموظفون!$M$6:$M$45,MATCH($B188,الموظفون!$B$6:$B$45,0)),""))</f>
        <v>0.33333333333333298</v>
      </c>
      <c r="E188" s="49">
        <v>0.37152777777777801</v>
      </c>
      <c r="F188" s="49">
        <v>0.70833333333333304</v>
      </c>
      <c r="G188" s="74">
        <f t="shared" si="4"/>
        <v>55</v>
      </c>
      <c r="H188" s="75">
        <f t="shared" si="5"/>
        <v>8.08</v>
      </c>
      <c r="I188" s="75">
        <f>IF($H188="","",MAX(0,ROUND($H188-الإعدادات!$C$24-الإعدادات!$C$27,2)))</f>
        <v>0</v>
      </c>
      <c r="J188" s="76">
        <f>IF(OR($B188="",$G188="",$G188&lt;=0),"",COUNTIFS($B$6:$B188,$B188,$G$6:$G188,"&gt;0"))</f>
        <v>15</v>
      </c>
      <c r="K188" s="75">
        <f>IF($J188="","",INDEX(الجزاءات!$E$6:$H$9,MATCH($G188,الجزاءات!$B$6:$B$9,1),MIN($J188,4)))</f>
        <v>1</v>
      </c>
      <c r="L188" s="45"/>
    </row>
    <row r="189" spans="1:12" ht="15.75" customHeight="1" x14ac:dyDescent="0.35">
      <c r="A189" s="31">
        <v>46261</v>
      </c>
      <c r="B189" s="30" t="s">
        <v>238</v>
      </c>
      <c r="C189" s="72" t="str">
        <f>IF($B189="","",IFERROR(INDEX(الموظفون!$C$6:$C$45,MATCH($B189,الموظفون!$B$6:$B$45,0)),""))</f>
        <v>عمر شعبان النجار</v>
      </c>
      <c r="D189" s="73">
        <f>IF($B189="","",IFERROR(INDEX(الموظفون!$M$6:$M$45,MATCH($B189,الموظفون!$B$6:$B$45,0)),""))</f>
        <v>0.29166666666666702</v>
      </c>
      <c r="E189" s="49">
        <v>0.34375</v>
      </c>
      <c r="F189" s="49">
        <v>0.66666666666666696</v>
      </c>
      <c r="G189" s="74">
        <f t="shared" si="4"/>
        <v>75</v>
      </c>
      <c r="H189" s="75">
        <f t="shared" si="5"/>
        <v>7.75</v>
      </c>
      <c r="I189" s="75">
        <f>IF($H189="","",MAX(0,ROUND($H189-الإعدادات!$C$24-الإعدادات!$C$27,2)))</f>
        <v>0</v>
      </c>
      <c r="J189" s="76">
        <f>IF(OR($B189="",$G189="",$G189&lt;=0),"",COUNTIFS($B$6:$B189,$B189,$G$6:$G189,"&gt;0"))</f>
        <v>5</v>
      </c>
      <c r="K189" s="75">
        <f>IF($J189="","",INDEX(الجزاءات!$E$6:$H$9,MATCH($G189,الجزاءات!$B$6:$B$9,1),MIN($J189,4)))</f>
        <v>3</v>
      </c>
      <c r="L189" s="45"/>
    </row>
    <row r="190" spans="1:12" ht="15.75" customHeight="1" x14ac:dyDescent="0.35">
      <c r="A190" s="31">
        <v>46261</v>
      </c>
      <c r="B190" s="30" t="s">
        <v>242</v>
      </c>
      <c r="C190" s="72" t="str">
        <f>IF($B190="","",IFERROR(INDEX(الموظفون!$C$6:$C$45,MATCH($B190,الموظفون!$B$6:$B$45,0)),""))</f>
        <v>ماجد الدوسري</v>
      </c>
      <c r="D190" s="73">
        <f>IF($B190="","",IFERROR(INDEX(الموظفون!$M$6:$M$45,MATCH($B190,الموظفون!$B$6:$B$45,0)),""))</f>
        <v>0.29166666666666702</v>
      </c>
      <c r="E190" s="49">
        <v>0.29513888888888901</v>
      </c>
      <c r="F190" s="49">
        <v>0.66666666666666696</v>
      </c>
      <c r="G190" s="74">
        <f t="shared" si="4"/>
        <v>5</v>
      </c>
      <c r="H190" s="75">
        <f t="shared" si="5"/>
        <v>8.92</v>
      </c>
      <c r="I190" s="75">
        <f>IF($H190="","",MAX(0,ROUND($H190-الإعدادات!$C$24-الإعدادات!$C$27,2)))</f>
        <v>0</v>
      </c>
      <c r="J190" s="76">
        <f>IF(OR($B190="",$G190="",$G190&lt;=0),"",COUNTIFS($B$6:$B190,$B190,$G$6:$G190,"&gt;0"))</f>
        <v>3</v>
      </c>
      <c r="K190" s="75">
        <f>IF($J190="","",INDEX(الجزاءات!$E$6:$H$9,MATCH($G190,الجزاءات!$B$6:$B$9,1),MIN($J190,4)))</f>
        <v>0.1</v>
      </c>
      <c r="L190" s="45"/>
    </row>
    <row r="191" spans="1:12" ht="15.75" customHeight="1" x14ac:dyDescent="0.35">
      <c r="A191" s="31">
        <v>46261</v>
      </c>
      <c r="B191" s="30" t="s">
        <v>247</v>
      </c>
      <c r="C191" s="72" t="str">
        <f>IF($B191="","",IFERROR(INDEX(الموظفون!$C$6:$C$45,MATCH($B191,الموظفون!$B$6:$B$45,0)),""))</f>
        <v>داليا فؤاد الشناوي</v>
      </c>
      <c r="D191" s="73">
        <f>IF($B191="","",IFERROR(INDEX(الموظفون!$M$6:$M$45,MATCH($B191,الموظفون!$B$6:$B$45,0)),""))</f>
        <v>0.29166666666666702</v>
      </c>
      <c r="E191" s="49">
        <v>0.29513888888888901</v>
      </c>
      <c r="F191" s="49">
        <v>0.66666666666666696</v>
      </c>
      <c r="G191" s="74">
        <f t="shared" si="4"/>
        <v>5</v>
      </c>
      <c r="H191" s="75">
        <f t="shared" si="5"/>
        <v>8.92</v>
      </c>
      <c r="I191" s="75">
        <f>IF($H191="","",MAX(0,ROUND($H191-الإعدادات!$C$24-الإعدادات!$C$27,2)))</f>
        <v>0</v>
      </c>
      <c r="J191" s="76">
        <f>IF(OR($B191="",$G191="",$G191&lt;=0),"",COUNTIFS($B$6:$B191,$B191,$G$6:$G191,"&gt;0"))</f>
        <v>2</v>
      </c>
      <c r="K191" s="75">
        <f>IF($J191="","",INDEX(الجزاءات!$E$6:$H$9,MATCH($G191,الجزاءات!$B$6:$B$9,1),MIN($J191,4)))</f>
        <v>0.05</v>
      </c>
      <c r="L191" s="45"/>
    </row>
    <row r="192" spans="1:12" ht="15.75" customHeight="1" x14ac:dyDescent="0.35">
      <c r="A192" s="31">
        <v>46261</v>
      </c>
      <c r="B192" s="30" t="s">
        <v>252</v>
      </c>
      <c r="C192" s="72" t="str">
        <f>IF($B192="","",IFERROR(INDEX(الموظفون!$C$6:$C$45,MATCH($B192,الموظفون!$B$6:$B$45,0)),""))</f>
        <v>سارة الشريف عبد الله</v>
      </c>
      <c r="D192" s="73">
        <f>IF($B192="","",IFERROR(INDEX(الموظفون!$M$6:$M$45,MATCH($B192,الموظفون!$B$6:$B$45,0)),""))</f>
        <v>0.33333333333333298</v>
      </c>
      <c r="E192" s="49">
        <v>0.34583333333333299</v>
      </c>
      <c r="F192" s="49">
        <v>0.79166666666666696</v>
      </c>
      <c r="G192" s="74">
        <f t="shared" si="4"/>
        <v>18</v>
      </c>
      <c r="H192" s="75">
        <f t="shared" si="5"/>
        <v>10.7</v>
      </c>
      <c r="I192" s="75">
        <f>IF($H192="","",MAX(0,ROUND($H192-الإعدادات!$C$24-الإعدادات!$C$27,2)))</f>
        <v>1.7</v>
      </c>
      <c r="J192" s="76">
        <f>IF(OR($B192="",$G192="",$G192&lt;=0),"",COUNTIFS($B$6:$B192,$B192,$G$6:$G192,"&gt;0"))</f>
        <v>17</v>
      </c>
      <c r="K192" s="75">
        <f>IF($J192="","",INDEX(الجزاءات!$E$6:$H$9,MATCH($G192,الجزاءات!$B$6:$B$9,1),MIN($J192,4)))</f>
        <v>0.5</v>
      </c>
      <c r="L192" s="45"/>
    </row>
    <row r="193" spans="1:12" ht="15.75" customHeight="1" x14ac:dyDescent="0.35">
      <c r="A193" s="31">
        <v>46261</v>
      </c>
      <c r="B193" s="30" t="s">
        <v>262</v>
      </c>
      <c r="C193" s="72" t="str">
        <f>IF($B193="","",IFERROR(INDEX(الموظفون!$C$6:$C$45,MATCH($B193,الموظفون!$B$6:$B$45,0)),""))</f>
        <v>رانيا الخولي</v>
      </c>
      <c r="D193" s="73">
        <f>IF($B193="","",IFERROR(INDEX(الموظفون!$M$6:$M$45,MATCH($B193,الموظفون!$B$6:$B$45,0)),""))</f>
        <v>0.33333333333333298</v>
      </c>
      <c r="E193" s="49">
        <v>0.33680555555555602</v>
      </c>
      <c r="F193" s="49">
        <v>0.70833333333333304</v>
      </c>
      <c r="G193" s="74">
        <f t="shared" si="4"/>
        <v>5</v>
      </c>
      <c r="H193" s="75">
        <f t="shared" si="5"/>
        <v>8.92</v>
      </c>
      <c r="I193" s="75">
        <f>IF($H193="","",MAX(0,ROUND($H193-الإعدادات!$C$24-الإعدادات!$C$27,2)))</f>
        <v>0</v>
      </c>
      <c r="J193" s="76">
        <f>IF(OR($B193="",$G193="",$G193&lt;=0),"",COUNTIFS($B$6:$B193,$B193,$G$6:$G193,"&gt;0"))</f>
        <v>5</v>
      </c>
      <c r="K193" s="75">
        <f>IF($J193="","",INDEX(الجزاءات!$E$6:$H$9,MATCH($G193,الجزاءات!$B$6:$B$9,1),MIN($J193,4)))</f>
        <v>0.2</v>
      </c>
      <c r="L193" s="45"/>
    </row>
    <row r="194" spans="1:12" ht="15.75" customHeight="1" x14ac:dyDescent="0.35">
      <c r="A194" s="31">
        <v>46261</v>
      </c>
      <c r="B194" s="30" t="s">
        <v>266</v>
      </c>
      <c r="C194" s="72" t="str">
        <f>IF($B194="","",IFERROR(INDEX(الموظفون!$C$6:$C$45,MATCH($B194,الموظفون!$B$6:$B$45,0)),""))</f>
        <v>مصطفى فهمي عبد الجواد</v>
      </c>
      <c r="D194" s="73">
        <f>IF($B194="","",IFERROR(INDEX(الموظفون!$M$6:$M$45,MATCH($B194,الموظفون!$B$6:$B$45,0)),""))</f>
        <v>0.33333333333333298</v>
      </c>
      <c r="E194" s="49">
        <v>0.33680555555555602</v>
      </c>
      <c r="F194" s="49">
        <v>0.70833333333333304</v>
      </c>
      <c r="G194" s="74">
        <f t="shared" si="4"/>
        <v>5</v>
      </c>
      <c r="H194" s="75">
        <f t="shared" si="5"/>
        <v>8.92</v>
      </c>
      <c r="I194" s="75">
        <f>IF($H194="","",MAX(0,ROUND($H194-الإعدادات!$C$24-الإعدادات!$C$27,2)))</f>
        <v>0</v>
      </c>
      <c r="J194" s="76">
        <f>IF(OR($B194="",$G194="",$G194&lt;=0),"",COUNTIFS($B$6:$B194,$B194,$G$6:$G194,"&gt;0"))</f>
        <v>3</v>
      </c>
      <c r="K194" s="75">
        <f>IF($J194="","",INDEX(الجزاءات!$E$6:$H$9,MATCH($G194,الجزاءات!$B$6:$B$9,1),MIN($J194,4)))</f>
        <v>0.1</v>
      </c>
      <c r="L194" s="45"/>
    </row>
    <row r="195" spans="1:12" ht="15.75" customHeight="1" x14ac:dyDescent="0.35">
      <c r="A195" s="31">
        <v>46261</v>
      </c>
      <c r="B195" s="30" t="s">
        <v>275</v>
      </c>
      <c r="C195" s="72" t="str">
        <f>IF($B195="","",IFERROR(INDEX(الموظفون!$C$6:$C$45,MATCH($B195,الموظفون!$B$6:$B$45,0)),""))</f>
        <v>إيمان صابر رفعت</v>
      </c>
      <c r="D195" s="73">
        <f>IF($B195="","",IFERROR(INDEX(الموظفون!$M$6:$M$45,MATCH($B195,الموظفون!$B$6:$B$45,0)),""))</f>
        <v>0.35416666666666702</v>
      </c>
      <c r="E195" s="49">
        <v>0.35416666666666702</v>
      </c>
      <c r="F195" s="49">
        <v>0.72916666666666696</v>
      </c>
      <c r="G195" s="74">
        <f t="shared" si="4"/>
        <v>0</v>
      </c>
      <c r="H195" s="75">
        <f t="shared" si="5"/>
        <v>9</v>
      </c>
      <c r="I195" s="75">
        <f>IF($H195="","",MAX(0,ROUND($H195-الإعدادات!$C$24-الإعدادات!$C$27,2)))</f>
        <v>0</v>
      </c>
      <c r="J195" s="76" t="str">
        <f>IF(OR($B195="",$G195="",$G195&lt;=0),"",COUNTIFS($B$6:$B195,$B195,$G$6:$G195,"&gt;0"))</f>
        <v/>
      </c>
      <c r="K195" s="75" t="str">
        <f>IF($J195="","",INDEX(الجزاءات!$E$6:$H$9,MATCH($G195,الجزاءات!$B$6:$B$9,1),MIN($J195,4)))</f>
        <v/>
      </c>
      <c r="L195" s="45"/>
    </row>
    <row r="196" spans="1:12" ht="15.75" customHeight="1" x14ac:dyDescent="0.35">
      <c r="A196" s="31">
        <v>46261</v>
      </c>
      <c r="B196" s="30" t="s">
        <v>282</v>
      </c>
      <c r="C196" s="72" t="str">
        <f>IF($B196="","",IFERROR(INDEX(الموظفون!$C$6:$C$45,MATCH($B196,الموظفون!$B$6:$B$45,0)),""))</f>
        <v>دلال البلوي</v>
      </c>
      <c r="D196" s="73">
        <f>IF($B196="","",IFERROR(INDEX(الموظفون!$M$6:$M$45,MATCH($B196,الموظفون!$B$6:$B$45,0)),""))</f>
        <v>0.35416666666666702</v>
      </c>
      <c r="E196" s="49">
        <v>0.39236111111111099</v>
      </c>
      <c r="F196" s="49">
        <v>0.72916666666666696</v>
      </c>
      <c r="G196" s="74">
        <f t="shared" si="4"/>
        <v>55</v>
      </c>
      <c r="H196" s="75">
        <f t="shared" si="5"/>
        <v>8.08</v>
      </c>
      <c r="I196" s="75">
        <f>IF($H196="","",MAX(0,ROUND($H196-الإعدادات!$C$24-الإعدادات!$C$27,2)))</f>
        <v>0</v>
      </c>
      <c r="J196" s="76">
        <f>IF(OR($B196="",$G196="",$G196&lt;=0),"",COUNTIFS($B$6:$B196,$B196,$G$6:$G196,"&gt;0"))</f>
        <v>18</v>
      </c>
      <c r="K196" s="75">
        <f>IF($J196="","",INDEX(الجزاءات!$E$6:$H$9,MATCH($G196,الجزاءات!$B$6:$B$9,1),MIN($J196,4)))</f>
        <v>1</v>
      </c>
      <c r="L196" s="45"/>
    </row>
    <row r="197" spans="1:12" ht="15.75" customHeight="1" x14ac:dyDescent="0.35">
      <c r="A197" s="31">
        <v>46261</v>
      </c>
      <c r="B197" s="30" t="s">
        <v>286</v>
      </c>
      <c r="C197" s="72" t="str">
        <f>IF($B197="","",IFERROR(INDEX(الموظفون!$C$6:$C$45,MATCH($B197,الموظفون!$B$6:$B$45,0)),""))</f>
        <v>مي الفهد</v>
      </c>
      <c r="D197" s="73">
        <f>IF($B197="","",IFERROR(INDEX(الموظفون!$M$6:$M$45,MATCH($B197,الموظفون!$B$6:$B$45,0)),""))</f>
        <v>0.35416666666666702</v>
      </c>
      <c r="E197" s="49">
        <v>0.35416666666666702</v>
      </c>
      <c r="F197" s="49">
        <v>0.72916666666666696</v>
      </c>
      <c r="G197" s="74">
        <f t="shared" si="4"/>
        <v>0</v>
      </c>
      <c r="H197" s="75">
        <f t="shared" si="5"/>
        <v>9</v>
      </c>
      <c r="I197" s="75">
        <f>IF($H197="","",MAX(0,ROUND($H197-الإعدادات!$C$24-الإعدادات!$C$27,2)))</f>
        <v>0</v>
      </c>
      <c r="J197" s="76" t="str">
        <f>IF(OR($B197="",$G197="",$G197&lt;=0),"",COUNTIFS($B$6:$B197,$B197,$G$6:$G197,"&gt;0"))</f>
        <v/>
      </c>
      <c r="K197" s="75" t="str">
        <f>IF($J197="","",INDEX(الجزاءات!$E$6:$H$9,MATCH($G197,الجزاءات!$B$6:$B$9,1),MIN($J197,4)))</f>
        <v/>
      </c>
      <c r="L197" s="45"/>
    </row>
    <row r="198" spans="1:12" ht="15.75" customHeight="1" x14ac:dyDescent="0.35">
      <c r="A198" s="31">
        <v>46264</v>
      </c>
      <c r="B198" s="30" t="s">
        <v>222</v>
      </c>
      <c r="C198" s="72" t="str">
        <f>IF($B198="","",IFERROR(INDEX(الموظفون!$C$6:$C$45,MATCH($B198,الموظفون!$B$6:$B$45,0)),""))</f>
        <v>عبدالله القحطاني</v>
      </c>
      <c r="D198" s="73">
        <f>IF($B198="","",IFERROR(INDEX(الموظفون!$M$6:$M$45,MATCH($B198,الموظفون!$B$6:$B$45,0)),""))</f>
        <v>0.33333333333333298</v>
      </c>
      <c r="E198" s="49">
        <v>0.33333333333333298</v>
      </c>
      <c r="F198" s="49">
        <v>0.75</v>
      </c>
      <c r="G198" s="74">
        <f t="shared" ref="G198:G261" si="6">IF(OR($B198="",$E198="",$D198=""),"",MAX(0,ROUND(($E198-$D198)*1440,0)))</f>
        <v>0</v>
      </c>
      <c r="H198" s="75">
        <f t="shared" ref="H198:H261" si="7">IF(OR($E198="",$F198=""),"",ROUND(($F198-$E198)*24,2))</f>
        <v>10</v>
      </c>
      <c r="I198" s="75">
        <f>IF($H198="","",MAX(0,ROUND($H198-الإعدادات!$C$24-الإعدادات!$C$27,2)))</f>
        <v>1</v>
      </c>
      <c r="J198" s="76" t="str">
        <f>IF(OR($B198="",$G198="",$G198&lt;=0),"",COUNTIFS($B$6:$B198,$B198,$G$6:$G198,"&gt;0"))</f>
        <v/>
      </c>
      <c r="K198" s="75" t="str">
        <f>IF($J198="","",INDEX(الجزاءات!$E$6:$H$9,MATCH($G198,الجزاءات!$B$6:$B$9,1),MIN($J198,4)))</f>
        <v/>
      </c>
      <c r="L198" s="45"/>
    </row>
    <row r="199" spans="1:12" ht="15.75" customHeight="1" x14ac:dyDescent="0.35">
      <c r="A199" s="31">
        <v>46264</v>
      </c>
      <c r="B199" s="30" t="s">
        <v>228</v>
      </c>
      <c r="C199" s="72" t="str">
        <f>IF($B199="","",IFERROR(INDEX(الموظفون!$C$6:$C$45,MATCH($B199,الموظفون!$B$6:$B$45,0)),""))</f>
        <v>يوسف إبراهيم فؤاد</v>
      </c>
      <c r="D199" s="73">
        <f>IF($B199="","",IFERROR(INDEX(الموظفون!$M$6:$M$45,MATCH($B199,الموظفون!$B$6:$B$45,0)),""))</f>
        <v>0.33333333333333298</v>
      </c>
      <c r="E199" s="49">
        <v>0.36111111111111099</v>
      </c>
      <c r="F199" s="49">
        <v>0.70833333333333304</v>
      </c>
      <c r="G199" s="74">
        <f t="shared" si="6"/>
        <v>40</v>
      </c>
      <c r="H199" s="75">
        <f t="shared" si="7"/>
        <v>8.33</v>
      </c>
      <c r="I199" s="75">
        <f>IF($H199="","",MAX(0,ROUND($H199-الإعدادات!$C$24-الإعدادات!$C$27,2)))</f>
        <v>0</v>
      </c>
      <c r="J199" s="76">
        <f>IF(OR($B199="",$G199="",$G199&lt;=0),"",COUNTIFS($B$6:$B199,$B199,$G$6:$G199,"&gt;0"))</f>
        <v>16</v>
      </c>
      <c r="K199" s="75">
        <f>IF($J199="","",INDEX(الجزاءات!$E$6:$H$9,MATCH($G199,الجزاءات!$B$6:$B$9,1),MIN($J199,4)))</f>
        <v>1</v>
      </c>
      <c r="L199" s="45"/>
    </row>
    <row r="200" spans="1:12" ht="15.75" customHeight="1" x14ac:dyDescent="0.35">
      <c r="A200" s="31">
        <v>46264</v>
      </c>
      <c r="B200" s="30" t="s">
        <v>247</v>
      </c>
      <c r="C200" s="72" t="str">
        <f>IF($B200="","",IFERROR(INDEX(الموظفون!$C$6:$C$45,MATCH($B200,الموظفون!$B$6:$B$45,0)),""))</f>
        <v>داليا فؤاد الشناوي</v>
      </c>
      <c r="D200" s="73">
        <f>IF($B200="","",IFERROR(INDEX(الموظفون!$M$6:$M$45,MATCH($B200,الموظفون!$B$6:$B$45,0)),""))</f>
        <v>0.29166666666666702</v>
      </c>
      <c r="E200" s="49">
        <v>0.29166666666666702</v>
      </c>
      <c r="F200" s="49">
        <v>0.66666666666666696</v>
      </c>
      <c r="G200" s="74">
        <f t="shared" si="6"/>
        <v>0</v>
      </c>
      <c r="H200" s="75">
        <f t="shared" si="7"/>
        <v>9</v>
      </c>
      <c r="I200" s="75">
        <f>IF($H200="","",MAX(0,ROUND($H200-الإعدادات!$C$24-الإعدادات!$C$27,2)))</f>
        <v>0</v>
      </c>
      <c r="J200" s="76" t="str">
        <f>IF(OR($B200="",$G200="",$G200&lt;=0),"",COUNTIFS($B$6:$B200,$B200,$G$6:$G200,"&gt;0"))</f>
        <v/>
      </c>
      <c r="K200" s="75" t="str">
        <f>IF($J200="","",INDEX(الجزاءات!$E$6:$H$9,MATCH($G200,الجزاءات!$B$6:$B$9,1),MIN($J200,4)))</f>
        <v/>
      </c>
      <c r="L200" s="45"/>
    </row>
    <row r="201" spans="1:12" ht="15.75" customHeight="1" x14ac:dyDescent="0.35">
      <c r="A201" s="31">
        <v>46264</v>
      </c>
      <c r="B201" s="30" t="s">
        <v>252</v>
      </c>
      <c r="C201" s="72" t="str">
        <f>IF($B201="","",IFERROR(INDEX(الموظفون!$C$6:$C$45,MATCH($B201,الموظفون!$B$6:$B$45,0)),""))</f>
        <v>سارة الشريف عبد الله</v>
      </c>
      <c r="D201" s="73">
        <f>IF($B201="","",IFERROR(INDEX(الموظفون!$M$6:$M$45,MATCH($B201,الموظفون!$B$6:$B$45,0)),""))</f>
        <v>0.33333333333333298</v>
      </c>
      <c r="E201" s="49">
        <v>0.36111111111111099</v>
      </c>
      <c r="F201" s="49">
        <v>0.70833333333333304</v>
      </c>
      <c r="G201" s="74">
        <f t="shared" si="6"/>
        <v>40</v>
      </c>
      <c r="H201" s="75">
        <f t="shared" si="7"/>
        <v>8.33</v>
      </c>
      <c r="I201" s="75">
        <f>IF($H201="","",MAX(0,ROUND($H201-الإعدادات!$C$24-الإعدادات!$C$27,2)))</f>
        <v>0</v>
      </c>
      <c r="J201" s="76">
        <f>IF(OR($B201="",$G201="",$G201&lt;=0),"",COUNTIFS($B$6:$B201,$B201,$G$6:$G201,"&gt;0"))</f>
        <v>18</v>
      </c>
      <c r="K201" s="75">
        <f>IF($J201="","",INDEX(الجزاءات!$E$6:$H$9,MATCH($G201,الجزاءات!$B$6:$B$9,1),MIN($J201,4)))</f>
        <v>1</v>
      </c>
      <c r="L201" s="45"/>
    </row>
    <row r="202" spans="1:12" ht="15.75" customHeight="1" x14ac:dyDescent="0.35">
      <c r="A202" s="31">
        <v>46264</v>
      </c>
      <c r="B202" s="30" t="s">
        <v>260</v>
      </c>
      <c r="C202" s="72" t="str">
        <f>IF($B202="","",IFERROR(INDEX(الموظفون!$C$6:$C$45,MATCH($B202,الموظفون!$B$6:$B$45,0)),""))</f>
        <v>هيا الغانم</v>
      </c>
      <c r="D202" s="73">
        <f>IF($B202="","",IFERROR(INDEX(الموظفون!$M$6:$M$45,MATCH($B202,الموظفون!$B$6:$B$45,0)),""))</f>
        <v>0.33333333333333298</v>
      </c>
      <c r="E202" s="49">
        <v>0.36805555555555602</v>
      </c>
      <c r="F202" s="49">
        <v>0.70833333333333304</v>
      </c>
      <c r="G202" s="74">
        <f t="shared" si="6"/>
        <v>50</v>
      </c>
      <c r="H202" s="75">
        <f t="shared" si="7"/>
        <v>8.17</v>
      </c>
      <c r="I202" s="75">
        <f>IF($H202="","",MAX(0,ROUND($H202-الإعدادات!$C$24-الإعدادات!$C$27,2)))</f>
        <v>0</v>
      </c>
      <c r="J202" s="76">
        <f>IF(OR($B202="",$G202="",$G202&lt;=0),"",COUNTIFS($B$6:$B202,$B202,$G$6:$G202,"&gt;0"))</f>
        <v>6</v>
      </c>
      <c r="K202" s="75">
        <f>IF($J202="","",INDEX(الجزاءات!$E$6:$H$9,MATCH($G202,الجزاءات!$B$6:$B$9,1),MIN($J202,4)))</f>
        <v>1</v>
      </c>
      <c r="L202" s="45"/>
    </row>
    <row r="203" spans="1:12" ht="15.75" customHeight="1" x14ac:dyDescent="0.35">
      <c r="A203" s="31">
        <v>46264</v>
      </c>
      <c r="B203" s="30" t="s">
        <v>262</v>
      </c>
      <c r="C203" s="72" t="str">
        <f>IF($B203="","",IFERROR(INDEX(الموظفون!$C$6:$C$45,MATCH($B203,الموظفون!$B$6:$B$45,0)),""))</f>
        <v>رانيا الخولي</v>
      </c>
      <c r="D203" s="73">
        <f>IF($B203="","",IFERROR(INDEX(الموظفون!$M$6:$M$45,MATCH($B203,الموظفون!$B$6:$B$45,0)),""))</f>
        <v>0.33333333333333298</v>
      </c>
      <c r="E203" s="49">
        <v>0.34722222222222199</v>
      </c>
      <c r="F203" s="49">
        <v>0.70833333333333304</v>
      </c>
      <c r="G203" s="74">
        <f t="shared" si="6"/>
        <v>20</v>
      </c>
      <c r="H203" s="75">
        <f t="shared" si="7"/>
        <v>8.67</v>
      </c>
      <c r="I203" s="75">
        <f>IF($H203="","",MAX(0,ROUND($H203-الإعدادات!$C$24-الإعدادات!$C$27,2)))</f>
        <v>0</v>
      </c>
      <c r="J203" s="76">
        <f>IF(OR($B203="",$G203="",$G203&lt;=0),"",COUNTIFS($B$6:$B203,$B203,$G$6:$G203,"&gt;0"))</f>
        <v>6</v>
      </c>
      <c r="K203" s="75">
        <f>IF($J203="","",INDEX(الجزاءات!$E$6:$H$9,MATCH($G203,الجزاءات!$B$6:$B$9,1),MIN($J203,4)))</f>
        <v>0.5</v>
      </c>
      <c r="L203" s="45"/>
    </row>
    <row r="204" spans="1:12" ht="15.75" customHeight="1" x14ac:dyDescent="0.35">
      <c r="A204" s="31">
        <v>46264</v>
      </c>
      <c r="B204" s="30" t="s">
        <v>266</v>
      </c>
      <c r="C204" s="72" t="str">
        <f>IF($B204="","",IFERROR(INDEX(الموظفون!$C$6:$C$45,MATCH($B204,الموظفون!$B$6:$B$45,0)),""))</f>
        <v>مصطفى فهمي عبد الجواد</v>
      </c>
      <c r="D204" s="73">
        <f>IF($B204="","",IFERROR(INDEX(الموظفون!$M$6:$M$45,MATCH($B204,الموظفون!$B$6:$B$45,0)),""))</f>
        <v>0.33333333333333298</v>
      </c>
      <c r="E204" s="49">
        <v>0.38541666666666702</v>
      </c>
      <c r="F204" s="49">
        <v>0.70833333333333304</v>
      </c>
      <c r="G204" s="74">
        <f t="shared" si="6"/>
        <v>75</v>
      </c>
      <c r="H204" s="75">
        <f t="shared" si="7"/>
        <v>7.75</v>
      </c>
      <c r="I204" s="75">
        <f>IF($H204="","",MAX(0,ROUND($H204-الإعدادات!$C$24-الإعدادات!$C$27,2)))</f>
        <v>0</v>
      </c>
      <c r="J204" s="76">
        <f>IF(OR($B204="",$G204="",$G204&lt;=0),"",COUNTIFS($B$6:$B204,$B204,$G$6:$G204,"&gt;0"))</f>
        <v>4</v>
      </c>
      <c r="K204" s="75">
        <f>IF($J204="","",INDEX(الجزاءات!$E$6:$H$9,MATCH($G204,الجزاءات!$B$6:$B$9,1),MIN($J204,4)))</f>
        <v>3</v>
      </c>
      <c r="L204" s="45"/>
    </row>
    <row r="205" spans="1:12" ht="15.75" customHeight="1" x14ac:dyDescent="0.35">
      <c r="A205" s="31">
        <v>46264</v>
      </c>
      <c r="B205" s="30" t="s">
        <v>270</v>
      </c>
      <c r="C205" s="72" t="str">
        <f>IF($B205="","",IFERROR(INDEX(الموظفون!$C$6:$C$45,MATCH($B205,الموظفون!$B$6:$B$45,0)),""))</f>
        <v>تامر النجار</v>
      </c>
      <c r="D205" s="73">
        <f>IF($B205="","",IFERROR(INDEX(الموظفون!$M$6:$M$45,MATCH($B205,الموظفون!$B$6:$B$45,0)),""))</f>
        <v>0.33333333333333298</v>
      </c>
      <c r="E205" s="49">
        <v>0.33680555555555602</v>
      </c>
      <c r="F205" s="49">
        <v>0.70833333333333304</v>
      </c>
      <c r="G205" s="74">
        <f t="shared" si="6"/>
        <v>5</v>
      </c>
      <c r="H205" s="75">
        <f t="shared" si="7"/>
        <v>8.92</v>
      </c>
      <c r="I205" s="75">
        <f>IF($H205="","",MAX(0,ROUND($H205-الإعدادات!$C$24-الإعدادات!$C$27,2)))</f>
        <v>0</v>
      </c>
      <c r="J205" s="76">
        <f>IF(OR($B205="",$G205="",$G205&lt;=0),"",COUNTIFS($B$6:$B205,$B205,$G$6:$G205,"&gt;0"))</f>
        <v>2</v>
      </c>
      <c r="K205" s="75">
        <f>IF($J205="","",INDEX(الجزاءات!$E$6:$H$9,MATCH($G205,الجزاءات!$B$6:$B$9,1),MIN($J205,4)))</f>
        <v>0.05</v>
      </c>
      <c r="L205" s="45"/>
    </row>
    <row r="206" spans="1:12" ht="15.75" customHeight="1" x14ac:dyDescent="0.35">
      <c r="A206" s="31">
        <v>46264</v>
      </c>
      <c r="B206" s="30" t="s">
        <v>272</v>
      </c>
      <c r="C206" s="72" t="str">
        <f>IF($B206="","",IFERROR(INDEX(الموظفون!$C$6:$C$45,MATCH($B206,الموظفون!$B$6:$B$45,0)),""))</f>
        <v>نايف السبيعي</v>
      </c>
      <c r="D206" s="73">
        <f>IF($B206="","",IFERROR(INDEX(الموظفون!$M$6:$M$45,MATCH($B206,الموظفون!$B$6:$B$45,0)),""))</f>
        <v>0.33333333333333298</v>
      </c>
      <c r="E206" s="49">
        <v>0.34166666666666701</v>
      </c>
      <c r="F206" s="49">
        <v>0.70833333333333304</v>
      </c>
      <c r="G206" s="74">
        <f t="shared" si="6"/>
        <v>12</v>
      </c>
      <c r="H206" s="75">
        <f t="shared" si="7"/>
        <v>8.8000000000000007</v>
      </c>
      <c r="I206" s="75">
        <f>IF($H206="","",MAX(0,ROUND($H206-الإعدادات!$C$24-الإعدادات!$C$27,2)))</f>
        <v>0</v>
      </c>
      <c r="J206" s="76">
        <f>IF(OR($B206="",$G206="",$G206&lt;=0),"",COUNTIFS($B$6:$B206,$B206,$G$6:$G206,"&gt;0"))</f>
        <v>2</v>
      </c>
      <c r="K206" s="75">
        <f>IF($J206="","",INDEX(الجزاءات!$E$6:$H$9,MATCH($G206,الجزاءات!$B$6:$B$9,1),MIN($J206,4)))</f>
        <v>0.05</v>
      </c>
      <c r="L206" s="45"/>
    </row>
    <row r="207" spans="1:12" ht="15.75" customHeight="1" x14ac:dyDescent="0.35">
      <c r="A207" s="31">
        <v>46264</v>
      </c>
      <c r="B207" s="30" t="s">
        <v>279</v>
      </c>
      <c r="C207" s="72" t="str">
        <f>IF($B207="","",IFERROR(INDEX(الموظفون!$C$6:$C$45,MATCH($B207,الموظفون!$B$6:$B$45,0)),""))</f>
        <v>منال المطيري</v>
      </c>
      <c r="D207" s="73">
        <f>IF($B207="","",IFERROR(INDEX(الموظفون!$M$6:$M$45,MATCH($B207,الموظفون!$B$6:$B$45,0)),""))</f>
        <v>0.35416666666666702</v>
      </c>
      <c r="E207" s="49">
        <v>0.36805555555555602</v>
      </c>
      <c r="F207" s="49">
        <v>0.72916666666666696</v>
      </c>
      <c r="G207" s="74">
        <f t="shared" si="6"/>
        <v>20</v>
      </c>
      <c r="H207" s="75">
        <f t="shared" si="7"/>
        <v>8.67</v>
      </c>
      <c r="I207" s="75">
        <f>IF($H207="","",MAX(0,ROUND($H207-الإعدادات!$C$24-الإعدادات!$C$27,2)))</f>
        <v>0</v>
      </c>
      <c r="J207" s="76">
        <f>IF(OR($B207="",$G207="",$G207&lt;=0),"",COUNTIFS($B$6:$B207,$B207,$G$6:$G207,"&gt;0"))</f>
        <v>4</v>
      </c>
      <c r="K207" s="75">
        <f>IF($J207="","",INDEX(الجزاءات!$E$6:$H$9,MATCH($G207,الجزاءات!$B$6:$B$9,1),MIN($J207,4)))</f>
        <v>0.5</v>
      </c>
      <c r="L207" s="45"/>
    </row>
    <row r="208" spans="1:12" ht="15.75" customHeight="1" x14ac:dyDescent="0.35">
      <c r="A208" s="31">
        <v>46264</v>
      </c>
      <c r="B208" s="30" t="s">
        <v>280</v>
      </c>
      <c r="C208" s="72" t="str">
        <f>IF($B208="","",IFERROR(INDEX(الموظفون!$C$6:$C$45,MATCH($B208,الموظفون!$B$6:$B$45,0)),""))</f>
        <v>أميرة زكي الحسيني</v>
      </c>
      <c r="D208" s="73">
        <f>IF($B208="","",IFERROR(INDEX(الموظفون!$M$6:$M$45,MATCH($B208,الموظفون!$B$6:$B$45,0)),""))</f>
        <v>0.35416666666666702</v>
      </c>
      <c r="E208" s="49">
        <v>0.35416666666666702</v>
      </c>
      <c r="F208" s="49">
        <v>0.72916666666666696</v>
      </c>
      <c r="G208" s="74">
        <f t="shared" si="6"/>
        <v>0</v>
      </c>
      <c r="H208" s="75">
        <f t="shared" si="7"/>
        <v>9</v>
      </c>
      <c r="I208" s="75">
        <f>IF($H208="","",MAX(0,ROUND($H208-الإعدادات!$C$24-الإعدادات!$C$27,2)))</f>
        <v>0</v>
      </c>
      <c r="J208" s="76" t="str">
        <f>IF(OR($B208="",$G208="",$G208&lt;=0),"",COUNTIFS($B$6:$B208,$B208,$G$6:$G208,"&gt;0"))</f>
        <v/>
      </c>
      <c r="K208" s="75" t="str">
        <f>IF($J208="","",INDEX(الجزاءات!$E$6:$H$9,MATCH($G208,الجزاءات!$B$6:$B$9,1),MIN($J208,4)))</f>
        <v/>
      </c>
      <c r="L208" s="45"/>
    </row>
    <row r="209" spans="1:12" ht="15.75" customHeight="1" x14ac:dyDescent="0.35">
      <c r="A209" s="31">
        <v>46264</v>
      </c>
      <c r="B209" s="30" t="s">
        <v>282</v>
      </c>
      <c r="C209" s="72" t="str">
        <f>IF($B209="","",IFERROR(INDEX(الموظفون!$C$6:$C$45,MATCH($B209,الموظفون!$B$6:$B$45,0)),""))</f>
        <v>دلال البلوي</v>
      </c>
      <c r="D209" s="73">
        <f>IF($B209="","",IFERROR(INDEX(الموظفون!$M$6:$M$45,MATCH($B209,الموظفون!$B$6:$B$45,0)),""))</f>
        <v>0.35416666666666702</v>
      </c>
      <c r="E209" s="49">
        <v>0.36666666666666697</v>
      </c>
      <c r="F209" s="49">
        <v>0.72916666666666696</v>
      </c>
      <c r="G209" s="74">
        <f t="shared" si="6"/>
        <v>18</v>
      </c>
      <c r="H209" s="75">
        <f t="shared" si="7"/>
        <v>8.6999999999999993</v>
      </c>
      <c r="I209" s="75">
        <f>IF($H209="","",MAX(0,ROUND($H209-الإعدادات!$C$24-الإعدادات!$C$27,2)))</f>
        <v>0</v>
      </c>
      <c r="J209" s="76">
        <f>IF(OR($B209="",$G209="",$G209&lt;=0),"",COUNTIFS($B$6:$B209,$B209,$G$6:$G209,"&gt;0"))</f>
        <v>19</v>
      </c>
      <c r="K209" s="75">
        <f>IF($J209="","",INDEX(الجزاءات!$E$6:$H$9,MATCH($G209,الجزاءات!$B$6:$B$9,1),MIN($J209,4)))</f>
        <v>0.5</v>
      </c>
      <c r="L209" s="45"/>
    </row>
    <row r="210" spans="1:12" ht="15.75" customHeight="1" x14ac:dyDescent="0.35">
      <c r="A210" s="31">
        <v>46265</v>
      </c>
      <c r="B210" s="30" t="s">
        <v>226</v>
      </c>
      <c r="C210" s="72" t="str">
        <f>IF($B210="","",IFERROR(INDEX(الموظفون!$C$6:$C$45,MATCH($B210,الموظفون!$B$6:$B$45,0)),""))</f>
        <v>فيصل العتيبي</v>
      </c>
      <c r="D210" s="73">
        <f>IF($B210="","",IFERROR(INDEX(الموظفون!$M$6:$M$45,MATCH($B210,الموظفون!$B$6:$B$45,0)),""))</f>
        <v>0.33333333333333298</v>
      </c>
      <c r="E210" s="49">
        <v>0.33333333333333298</v>
      </c>
      <c r="F210" s="49">
        <v>0.70833333333333304</v>
      </c>
      <c r="G210" s="74">
        <f t="shared" si="6"/>
        <v>0</v>
      </c>
      <c r="H210" s="75">
        <f t="shared" si="7"/>
        <v>9</v>
      </c>
      <c r="I210" s="75">
        <f>IF($H210="","",MAX(0,ROUND($H210-الإعدادات!$C$24-الإعدادات!$C$27,2)))</f>
        <v>0</v>
      </c>
      <c r="J210" s="76" t="str">
        <f>IF(OR($B210="",$G210="",$G210&lt;=0),"",COUNTIFS($B$6:$B210,$B210,$G$6:$G210,"&gt;0"))</f>
        <v/>
      </c>
      <c r="K210" s="75" t="str">
        <f>IF($J210="","",INDEX(الجزاءات!$E$6:$H$9,MATCH($G210,الجزاءات!$B$6:$B$9,1),MIN($J210,4)))</f>
        <v/>
      </c>
      <c r="L210" s="45"/>
    </row>
    <row r="211" spans="1:12" ht="15.75" customHeight="1" x14ac:dyDescent="0.35">
      <c r="A211" s="31">
        <v>46265</v>
      </c>
      <c r="B211" s="30" t="s">
        <v>228</v>
      </c>
      <c r="C211" s="72" t="str">
        <f>IF($B211="","",IFERROR(INDEX(الموظفون!$C$6:$C$45,MATCH($B211,الموظفون!$B$6:$B$45,0)),""))</f>
        <v>يوسف إبراهيم فؤاد</v>
      </c>
      <c r="D211" s="73">
        <f>IF($B211="","",IFERROR(INDEX(الموظفون!$M$6:$M$45,MATCH($B211,الموظفون!$B$6:$B$45,0)),""))</f>
        <v>0.33333333333333298</v>
      </c>
      <c r="E211" s="49">
        <v>0.34027777777777801</v>
      </c>
      <c r="F211" s="49">
        <v>0.70833333333333304</v>
      </c>
      <c r="G211" s="74">
        <f t="shared" si="6"/>
        <v>10</v>
      </c>
      <c r="H211" s="75">
        <f t="shared" si="7"/>
        <v>8.83</v>
      </c>
      <c r="I211" s="75">
        <f>IF($H211="","",MAX(0,ROUND($H211-الإعدادات!$C$24-الإعدادات!$C$27,2)))</f>
        <v>0</v>
      </c>
      <c r="J211" s="76">
        <f>IF(OR($B211="",$G211="",$G211&lt;=0),"",COUNTIFS($B$6:$B211,$B211,$G$6:$G211,"&gt;0"))</f>
        <v>17</v>
      </c>
      <c r="K211" s="75">
        <f>IF($J211="","",INDEX(الجزاءات!$E$6:$H$9,MATCH($G211,الجزاءات!$B$6:$B$9,1),MIN($J211,4)))</f>
        <v>0.2</v>
      </c>
      <c r="L211" s="45"/>
    </row>
    <row r="212" spans="1:12" ht="15.75" customHeight="1" x14ac:dyDescent="0.35">
      <c r="A212" s="31">
        <v>46265</v>
      </c>
      <c r="B212" s="30" t="s">
        <v>252</v>
      </c>
      <c r="C212" s="72" t="str">
        <f>IF($B212="","",IFERROR(INDEX(الموظفون!$C$6:$C$45,MATCH($B212,الموظفون!$B$6:$B$45,0)),""))</f>
        <v>سارة الشريف عبد الله</v>
      </c>
      <c r="D212" s="73">
        <f>IF($B212="","",IFERROR(INDEX(الموظفون!$M$6:$M$45,MATCH($B212,الموظفون!$B$6:$B$45,0)),""))</f>
        <v>0.33333333333333298</v>
      </c>
      <c r="E212" s="49">
        <v>0.36111111111111099</v>
      </c>
      <c r="F212" s="49">
        <v>0.75</v>
      </c>
      <c r="G212" s="74">
        <f t="shared" si="6"/>
        <v>40</v>
      </c>
      <c r="H212" s="75">
        <f t="shared" si="7"/>
        <v>9.33</v>
      </c>
      <c r="I212" s="75">
        <f>IF($H212="","",MAX(0,ROUND($H212-الإعدادات!$C$24-الإعدادات!$C$27,2)))</f>
        <v>0.33</v>
      </c>
      <c r="J212" s="76">
        <f>IF(OR($B212="",$G212="",$G212&lt;=0),"",COUNTIFS($B$6:$B212,$B212,$G$6:$G212,"&gt;0"))</f>
        <v>19</v>
      </c>
      <c r="K212" s="75">
        <f>IF($J212="","",INDEX(الجزاءات!$E$6:$H$9,MATCH($G212,الجزاءات!$B$6:$B$9,1),MIN($J212,4)))</f>
        <v>1</v>
      </c>
      <c r="L212" s="45"/>
    </row>
    <row r="213" spans="1:12" ht="15.75" customHeight="1" x14ac:dyDescent="0.35">
      <c r="A213" s="31">
        <v>46265</v>
      </c>
      <c r="B213" s="30" t="s">
        <v>269</v>
      </c>
      <c r="C213" s="72" t="str">
        <f>IF($B213="","",IFERROR(INDEX(الموظفون!$C$6:$C$45,MATCH($B213,الموظفون!$B$6:$B$45,0)),""))</f>
        <v>تركي العنزي</v>
      </c>
      <c r="D213" s="73">
        <f>IF($B213="","",IFERROR(INDEX(الموظفون!$M$6:$M$45,MATCH($B213,الموظفون!$B$6:$B$45,0)),""))</f>
        <v>0.33333333333333298</v>
      </c>
      <c r="E213" s="49">
        <v>0.33333333333333298</v>
      </c>
      <c r="F213" s="49">
        <v>0.75</v>
      </c>
      <c r="G213" s="74">
        <f t="shared" si="6"/>
        <v>0</v>
      </c>
      <c r="H213" s="75">
        <f t="shared" si="7"/>
        <v>10</v>
      </c>
      <c r="I213" s="75">
        <f>IF($H213="","",MAX(0,ROUND($H213-الإعدادات!$C$24-الإعدادات!$C$27,2)))</f>
        <v>1</v>
      </c>
      <c r="J213" s="76" t="str">
        <f>IF(OR($B213="",$G213="",$G213&lt;=0),"",COUNTIFS($B$6:$B213,$B213,$G$6:$G213,"&gt;0"))</f>
        <v/>
      </c>
      <c r="K213" s="75" t="str">
        <f>IF($J213="","",INDEX(الجزاءات!$E$6:$H$9,MATCH($G213,الجزاءات!$B$6:$B$9,1),MIN($J213,4)))</f>
        <v/>
      </c>
      <c r="L213" s="45"/>
    </row>
    <row r="214" spans="1:12" ht="15.75" customHeight="1" x14ac:dyDescent="0.35">
      <c r="A214" s="31">
        <v>46265</v>
      </c>
      <c r="B214" s="30" t="s">
        <v>279</v>
      </c>
      <c r="C214" s="72" t="str">
        <f>IF($B214="","",IFERROR(INDEX(الموظفون!$C$6:$C$45,MATCH($B214,الموظفون!$B$6:$B$45,0)),""))</f>
        <v>منال المطيري</v>
      </c>
      <c r="D214" s="73">
        <f>IF($B214="","",IFERROR(INDEX(الموظفون!$M$6:$M$45,MATCH($B214,الموظفون!$B$6:$B$45,0)),""))</f>
        <v>0.35416666666666702</v>
      </c>
      <c r="E214" s="49">
        <v>0.35416666666666702</v>
      </c>
      <c r="F214" s="49">
        <v>0.72916666666666696</v>
      </c>
      <c r="G214" s="74">
        <f t="shared" si="6"/>
        <v>0</v>
      </c>
      <c r="H214" s="75">
        <f t="shared" si="7"/>
        <v>9</v>
      </c>
      <c r="I214" s="75">
        <f>IF($H214="","",MAX(0,ROUND($H214-الإعدادات!$C$24-الإعدادات!$C$27,2)))</f>
        <v>0</v>
      </c>
      <c r="J214" s="76" t="str">
        <f>IF(OR($B214="",$G214="",$G214&lt;=0),"",COUNTIFS($B$6:$B214,$B214,$G$6:$G214,"&gt;0"))</f>
        <v/>
      </c>
      <c r="K214" s="75" t="str">
        <f>IF($J214="","",INDEX(الجزاءات!$E$6:$H$9,MATCH($G214,الجزاءات!$B$6:$B$9,1),MIN($J214,4)))</f>
        <v/>
      </c>
      <c r="L214" s="45"/>
    </row>
    <row r="215" spans="1:12" ht="15.75" customHeight="1" x14ac:dyDescent="0.35">
      <c r="A215" s="31">
        <v>46265</v>
      </c>
      <c r="B215" s="30" t="s">
        <v>282</v>
      </c>
      <c r="C215" s="72" t="str">
        <f>IF($B215="","",IFERROR(INDEX(الموظفون!$C$6:$C$45,MATCH($B215,الموظفون!$B$6:$B$45,0)),""))</f>
        <v>دلال البلوي</v>
      </c>
      <c r="D215" s="73">
        <f>IF($B215="","",IFERROR(INDEX(الموظفون!$M$6:$M$45,MATCH($B215,الموظفون!$B$6:$B$45,0)),""))</f>
        <v>0.35416666666666702</v>
      </c>
      <c r="E215" s="49">
        <v>0.36111111111111099</v>
      </c>
      <c r="F215" s="49">
        <v>0.8125</v>
      </c>
      <c r="G215" s="74">
        <f t="shared" si="6"/>
        <v>10</v>
      </c>
      <c r="H215" s="75">
        <f t="shared" si="7"/>
        <v>10.83</v>
      </c>
      <c r="I215" s="75">
        <f>IF($H215="","",MAX(0,ROUND($H215-الإعدادات!$C$24-الإعدادات!$C$27,2)))</f>
        <v>1.83</v>
      </c>
      <c r="J215" s="76">
        <f>IF(OR($B215="",$G215="",$G215&lt;=0),"",COUNTIFS($B$6:$B215,$B215,$G$6:$G215,"&gt;0"))</f>
        <v>20</v>
      </c>
      <c r="K215" s="75">
        <f>IF($J215="","",INDEX(الجزاءات!$E$6:$H$9,MATCH($G215,الجزاءات!$B$6:$B$9,1),MIN($J215,4)))</f>
        <v>0.2</v>
      </c>
      <c r="L215" s="45"/>
    </row>
    <row r="216" spans="1:12" ht="15.75" customHeight="1" x14ac:dyDescent="0.35">
      <c r="A216" s="31"/>
      <c r="B216" s="30"/>
      <c r="C216" s="72" t="str">
        <f>IF($B216="","",IFERROR(INDEX(الموظفون!$C$6:$C$45,MATCH($B216,الموظفون!$B$6:$B$45,0)),""))</f>
        <v/>
      </c>
      <c r="D216" s="73" t="str">
        <f>IF($B216="","",IFERROR(INDEX(الموظفون!$M$6:$M$45,MATCH($B216,الموظفون!$B$6:$B$45,0)),""))</f>
        <v/>
      </c>
      <c r="E216" s="49"/>
      <c r="F216" s="49"/>
      <c r="G216" s="74" t="str">
        <f t="shared" si="6"/>
        <v/>
      </c>
      <c r="H216" s="75" t="str">
        <f t="shared" si="7"/>
        <v/>
      </c>
      <c r="I216" s="75" t="str">
        <f>IF($H216="","",MAX(0,ROUND($H216-الإعدادات!$C$24-الإعدادات!$C$27,2)))</f>
        <v/>
      </c>
      <c r="J216" s="76" t="str">
        <f>IF(OR($B216="",$G216="",$G216&lt;=0),"",COUNTIFS($B$6:$B216,$B216,$G$6:$G216,"&gt;0"))</f>
        <v/>
      </c>
      <c r="K216" s="75" t="str">
        <f>IF($J216="","",INDEX(الجزاءات!$E$6:$H$9,MATCH($G216,الجزاءات!$B$6:$B$9,1),MIN($J216,4)))</f>
        <v/>
      </c>
      <c r="L216" s="45"/>
    </row>
    <row r="217" spans="1:12" ht="15.75" customHeight="1" x14ac:dyDescent="0.35">
      <c r="A217" s="31"/>
      <c r="B217" s="30"/>
      <c r="C217" s="72" t="str">
        <f>IF($B217="","",IFERROR(INDEX(الموظفون!$C$6:$C$45,MATCH($B217,الموظفون!$B$6:$B$45,0)),""))</f>
        <v/>
      </c>
      <c r="D217" s="73" t="str">
        <f>IF($B217="","",IFERROR(INDEX(الموظفون!$M$6:$M$45,MATCH($B217,الموظفون!$B$6:$B$45,0)),""))</f>
        <v/>
      </c>
      <c r="E217" s="49"/>
      <c r="F217" s="49"/>
      <c r="G217" s="74" t="str">
        <f t="shared" si="6"/>
        <v/>
      </c>
      <c r="H217" s="75" t="str">
        <f t="shared" si="7"/>
        <v/>
      </c>
      <c r="I217" s="75" t="str">
        <f>IF($H217="","",MAX(0,ROUND($H217-الإعدادات!$C$24-الإعدادات!$C$27,2)))</f>
        <v/>
      </c>
      <c r="J217" s="76" t="str">
        <f>IF(OR($B217="",$G217="",$G217&lt;=0),"",COUNTIFS($B$6:$B217,$B217,$G$6:$G217,"&gt;0"))</f>
        <v/>
      </c>
      <c r="K217" s="75" t="str">
        <f>IF($J217="","",INDEX(الجزاءات!$E$6:$H$9,MATCH($G217,الجزاءات!$B$6:$B$9,1),MIN($J217,4)))</f>
        <v/>
      </c>
      <c r="L217" s="45"/>
    </row>
    <row r="218" spans="1:12" ht="15.75" customHeight="1" x14ac:dyDescent="0.35">
      <c r="A218" s="31"/>
      <c r="B218" s="30"/>
      <c r="C218" s="72" t="str">
        <f>IF($B218="","",IFERROR(INDEX(الموظفون!$C$6:$C$45,MATCH($B218,الموظفون!$B$6:$B$45,0)),""))</f>
        <v/>
      </c>
      <c r="D218" s="73" t="str">
        <f>IF($B218="","",IFERROR(INDEX(الموظفون!$M$6:$M$45,MATCH($B218,الموظفون!$B$6:$B$45,0)),""))</f>
        <v/>
      </c>
      <c r="E218" s="49"/>
      <c r="F218" s="49"/>
      <c r="G218" s="74" t="str">
        <f t="shared" si="6"/>
        <v/>
      </c>
      <c r="H218" s="75" t="str">
        <f t="shared" si="7"/>
        <v/>
      </c>
      <c r="I218" s="75" t="str">
        <f>IF($H218="","",MAX(0,ROUND($H218-الإعدادات!$C$24-الإعدادات!$C$27,2)))</f>
        <v/>
      </c>
      <c r="J218" s="76" t="str">
        <f>IF(OR($B218="",$G218="",$G218&lt;=0),"",COUNTIFS($B$6:$B218,$B218,$G$6:$G218,"&gt;0"))</f>
        <v/>
      </c>
      <c r="K218" s="75" t="str">
        <f>IF($J218="","",INDEX(الجزاءات!$E$6:$H$9,MATCH($G218,الجزاءات!$B$6:$B$9,1),MIN($J218,4)))</f>
        <v/>
      </c>
      <c r="L218" s="45"/>
    </row>
    <row r="219" spans="1:12" ht="15.75" customHeight="1" x14ac:dyDescent="0.35">
      <c r="A219" s="31"/>
      <c r="B219" s="30"/>
      <c r="C219" s="72" t="str">
        <f>IF($B219="","",IFERROR(INDEX(الموظفون!$C$6:$C$45,MATCH($B219,الموظفون!$B$6:$B$45,0)),""))</f>
        <v/>
      </c>
      <c r="D219" s="73" t="str">
        <f>IF($B219="","",IFERROR(INDEX(الموظفون!$M$6:$M$45,MATCH($B219,الموظفون!$B$6:$B$45,0)),""))</f>
        <v/>
      </c>
      <c r="E219" s="49"/>
      <c r="F219" s="49"/>
      <c r="G219" s="74" t="str">
        <f t="shared" si="6"/>
        <v/>
      </c>
      <c r="H219" s="75" t="str">
        <f t="shared" si="7"/>
        <v/>
      </c>
      <c r="I219" s="75" t="str">
        <f>IF($H219="","",MAX(0,ROUND($H219-الإعدادات!$C$24-الإعدادات!$C$27,2)))</f>
        <v/>
      </c>
      <c r="J219" s="76" t="str">
        <f>IF(OR($B219="",$G219="",$G219&lt;=0),"",COUNTIFS($B$6:$B219,$B219,$G$6:$G219,"&gt;0"))</f>
        <v/>
      </c>
      <c r="K219" s="75" t="str">
        <f>IF($J219="","",INDEX(الجزاءات!$E$6:$H$9,MATCH($G219,الجزاءات!$B$6:$B$9,1),MIN($J219,4)))</f>
        <v/>
      </c>
      <c r="L219" s="45"/>
    </row>
    <row r="220" spans="1:12" ht="15.75" customHeight="1" x14ac:dyDescent="0.35">
      <c r="A220" s="31"/>
      <c r="B220" s="30"/>
      <c r="C220" s="72" t="str">
        <f>IF($B220="","",IFERROR(INDEX(الموظفون!$C$6:$C$45,MATCH($B220,الموظفون!$B$6:$B$45,0)),""))</f>
        <v/>
      </c>
      <c r="D220" s="73" t="str">
        <f>IF($B220="","",IFERROR(INDEX(الموظفون!$M$6:$M$45,MATCH($B220,الموظفون!$B$6:$B$45,0)),""))</f>
        <v/>
      </c>
      <c r="E220" s="49"/>
      <c r="F220" s="49"/>
      <c r="G220" s="74" t="str">
        <f t="shared" si="6"/>
        <v/>
      </c>
      <c r="H220" s="75" t="str">
        <f t="shared" si="7"/>
        <v/>
      </c>
      <c r="I220" s="75" t="str">
        <f>IF($H220="","",MAX(0,ROUND($H220-الإعدادات!$C$24-الإعدادات!$C$27,2)))</f>
        <v/>
      </c>
      <c r="J220" s="76" t="str">
        <f>IF(OR($B220="",$G220="",$G220&lt;=0),"",COUNTIFS($B$6:$B220,$B220,$G$6:$G220,"&gt;0"))</f>
        <v/>
      </c>
      <c r="K220" s="75" t="str">
        <f>IF($J220="","",INDEX(الجزاءات!$E$6:$H$9,MATCH($G220,الجزاءات!$B$6:$B$9,1),MIN($J220,4)))</f>
        <v/>
      </c>
      <c r="L220" s="45"/>
    </row>
    <row r="221" spans="1:12" ht="15.75" customHeight="1" x14ac:dyDescent="0.35">
      <c r="A221" s="31"/>
      <c r="B221" s="30"/>
      <c r="C221" s="72" t="str">
        <f>IF($B221="","",IFERROR(INDEX(الموظفون!$C$6:$C$45,MATCH($B221,الموظفون!$B$6:$B$45,0)),""))</f>
        <v/>
      </c>
      <c r="D221" s="73" t="str">
        <f>IF($B221="","",IFERROR(INDEX(الموظفون!$M$6:$M$45,MATCH($B221,الموظفون!$B$6:$B$45,0)),""))</f>
        <v/>
      </c>
      <c r="E221" s="49"/>
      <c r="F221" s="49"/>
      <c r="G221" s="74" t="str">
        <f t="shared" si="6"/>
        <v/>
      </c>
      <c r="H221" s="75" t="str">
        <f t="shared" si="7"/>
        <v/>
      </c>
      <c r="I221" s="75" t="str">
        <f>IF($H221="","",MAX(0,ROUND($H221-الإعدادات!$C$24-الإعدادات!$C$27,2)))</f>
        <v/>
      </c>
      <c r="J221" s="76" t="str">
        <f>IF(OR($B221="",$G221="",$G221&lt;=0),"",COUNTIFS($B$6:$B221,$B221,$G$6:$G221,"&gt;0"))</f>
        <v/>
      </c>
      <c r="K221" s="75" t="str">
        <f>IF($J221="","",INDEX(الجزاءات!$E$6:$H$9,MATCH($G221,الجزاءات!$B$6:$B$9,1),MIN($J221,4)))</f>
        <v/>
      </c>
      <c r="L221" s="45"/>
    </row>
    <row r="222" spans="1:12" ht="15.75" customHeight="1" x14ac:dyDescent="0.35">
      <c r="A222" s="31"/>
      <c r="B222" s="30"/>
      <c r="C222" s="72" t="str">
        <f>IF($B222="","",IFERROR(INDEX(الموظفون!$C$6:$C$45,MATCH($B222,الموظفون!$B$6:$B$45,0)),""))</f>
        <v/>
      </c>
      <c r="D222" s="73" t="str">
        <f>IF($B222="","",IFERROR(INDEX(الموظفون!$M$6:$M$45,MATCH($B222,الموظفون!$B$6:$B$45,0)),""))</f>
        <v/>
      </c>
      <c r="E222" s="49"/>
      <c r="F222" s="49"/>
      <c r="G222" s="74" t="str">
        <f t="shared" si="6"/>
        <v/>
      </c>
      <c r="H222" s="75" t="str">
        <f t="shared" si="7"/>
        <v/>
      </c>
      <c r="I222" s="75" t="str">
        <f>IF($H222="","",MAX(0,ROUND($H222-الإعدادات!$C$24-الإعدادات!$C$27,2)))</f>
        <v/>
      </c>
      <c r="J222" s="76" t="str">
        <f>IF(OR($B222="",$G222="",$G222&lt;=0),"",COUNTIFS($B$6:$B222,$B222,$G$6:$G222,"&gt;0"))</f>
        <v/>
      </c>
      <c r="K222" s="75" t="str">
        <f>IF($J222="","",INDEX(الجزاءات!$E$6:$H$9,MATCH($G222,الجزاءات!$B$6:$B$9,1),MIN($J222,4)))</f>
        <v/>
      </c>
      <c r="L222" s="45"/>
    </row>
    <row r="223" spans="1:12" ht="15.75" customHeight="1" x14ac:dyDescent="0.35">
      <c r="A223" s="31"/>
      <c r="B223" s="30"/>
      <c r="C223" s="72" t="str">
        <f>IF($B223="","",IFERROR(INDEX(الموظفون!$C$6:$C$45,MATCH($B223,الموظفون!$B$6:$B$45,0)),""))</f>
        <v/>
      </c>
      <c r="D223" s="73" t="str">
        <f>IF($B223="","",IFERROR(INDEX(الموظفون!$M$6:$M$45,MATCH($B223,الموظفون!$B$6:$B$45,0)),""))</f>
        <v/>
      </c>
      <c r="E223" s="49"/>
      <c r="F223" s="49"/>
      <c r="G223" s="74" t="str">
        <f t="shared" si="6"/>
        <v/>
      </c>
      <c r="H223" s="75" t="str">
        <f t="shared" si="7"/>
        <v/>
      </c>
      <c r="I223" s="75" t="str">
        <f>IF($H223="","",MAX(0,ROUND($H223-الإعدادات!$C$24-الإعدادات!$C$27,2)))</f>
        <v/>
      </c>
      <c r="J223" s="76" t="str">
        <f>IF(OR($B223="",$G223="",$G223&lt;=0),"",COUNTIFS($B$6:$B223,$B223,$G$6:$G223,"&gt;0"))</f>
        <v/>
      </c>
      <c r="K223" s="75" t="str">
        <f>IF($J223="","",INDEX(الجزاءات!$E$6:$H$9,MATCH($G223,الجزاءات!$B$6:$B$9,1),MIN($J223,4)))</f>
        <v/>
      </c>
      <c r="L223" s="45"/>
    </row>
    <row r="224" spans="1:12" ht="15.75" customHeight="1" x14ac:dyDescent="0.35">
      <c r="A224" s="31"/>
      <c r="B224" s="30"/>
      <c r="C224" s="72" t="str">
        <f>IF($B224="","",IFERROR(INDEX(الموظفون!$C$6:$C$45,MATCH($B224,الموظفون!$B$6:$B$45,0)),""))</f>
        <v/>
      </c>
      <c r="D224" s="73" t="str">
        <f>IF($B224="","",IFERROR(INDEX(الموظفون!$M$6:$M$45,MATCH($B224,الموظفون!$B$6:$B$45,0)),""))</f>
        <v/>
      </c>
      <c r="E224" s="49"/>
      <c r="F224" s="49"/>
      <c r="G224" s="74" t="str">
        <f t="shared" si="6"/>
        <v/>
      </c>
      <c r="H224" s="75" t="str">
        <f t="shared" si="7"/>
        <v/>
      </c>
      <c r="I224" s="75" t="str">
        <f>IF($H224="","",MAX(0,ROUND($H224-الإعدادات!$C$24-الإعدادات!$C$27,2)))</f>
        <v/>
      </c>
      <c r="J224" s="76" t="str">
        <f>IF(OR($B224="",$G224="",$G224&lt;=0),"",COUNTIFS($B$6:$B224,$B224,$G$6:$G224,"&gt;0"))</f>
        <v/>
      </c>
      <c r="K224" s="75" t="str">
        <f>IF($J224="","",INDEX(الجزاءات!$E$6:$H$9,MATCH($G224,الجزاءات!$B$6:$B$9,1),MIN($J224,4)))</f>
        <v/>
      </c>
      <c r="L224" s="45"/>
    </row>
    <row r="225" spans="1:12" ht="15.75" customHeight="1" x14ac:dyDescent="0.35">
      <c r="A225" s="31"/>
      <c r="B225" s="30"/>
      <c r="C225" s="72" t="str">
        <f>IF($B225="","",IFERROR(INDEX(الموظفون!$C$6:$C$45,MATCH($B225,الموظفون!$B$6:$B$45,0)),""))</f>
        <v/>
      </c>
      <c r="D225" s="73" t="str">
        <f>IF($B225="","",IFERROR(INDEX(الموظفون!$M$6:$M$45,MATCH($B225,الموظفون!$B$6:$B$45,0)),""))</f>
        <v/>
      </c>
      <c r="E225" s="49"/>
      <c r="F225" s="49"/>
      <c r="G225" s="74" t="str">
        <f t="shared" si="6"/>
        <v/>
      </c>
      <c r="H225" s="75" t="str">
        <f t="shared" si="7"/>
        <v/>
      </c>
      <c r="I225" s="75" t="str">
        <f>IF($H225="","",MAX(0,ROUND($H225-الإعدادات!$C$24-الإعدادات!$C$27,2)))</f>
        <v/>
      </c>
      <c r="J225" s="76" t="str">
        <f>IF(OR($B225="",$G225="",$G225&lt;=0),"",COUNTIFS($B$6:$B225,$B225,$G$6:$G225,"&gt;0"))</f>
        <v/>
      </c>
      <c r="K225" s="75" t="str">
        <f>IF($J225="","",INDEX(الجزاءات!$E$6:$H$9,MATCH($G225,الجزاءات!$B$6:$B$9,1),MIN($J225,4)))</f>
        <v/>
      </c>
      <c r="L225" s="45"/>
    </row>
    <row r="226" spans="1:12" ht="15.75" customHeight="1" x14ac:dyDescent="0.35">
      <c r="A226" s="31"/>
      <c r="B226" s="30"/>
      <c r="C226" s="72" t="str">
        <f>IF($B226="","",IFERROR(INDEX(الموظفون!$C$6:$C$45,MATCH($B226,الموظفون!$B$6:$B$45,0)),""))</f>
        <v/>
      </c>
      <c r="D226" s="73" t="str">
        <f>IF($B226="","",IFERROR(INDEX(الموظفون!$M$6:$M$45,MATCH($B226,الموظفون!$B$6:$B$45,0)),""))</f>
        <v/>
      </c>
      <c r="E226" s="49"/>
      <c r="F226" s="49"/>
      <c r="G226" s="74" t="str">
        <f t="shared" si="6"/>
        <v/>
      </c>
      <c r="H226" s="75" t="str">
        <f t="shared" si="7"/>
        <v/>
      </c>
      <c r="I226" s="75" t="str">
        <f>IF($H226="","",MAX(0,ROUND($H226-الإعدادات!$C$24-الإعدادات!$C$27,2)))</f>
        <v/>
      </c>
      <c r="J226" s="76" t="str">
        <f>IF(OR($B226="",$G226="",$G226&lt;=0),"",COUNTIFS($B$6:$B226,$B226,$G$6:$G226,"&gt;0"))</f>
        <v/>
      </c>
      <c r="K226" s="75" t="str">
        <f>IF($J226="","",INDEX(الجزاءات!$E$6:$H$9,MATCH($G226,الجزاءات!$B$6:$B$9,1),MIN($J226,4)))</f>
        <v/>
      </c>
      <c r="L226" s="45"/>
    </row>
    <row r="227" spans="1:12" ht="15.75" customHeight="1" x14ac:dyDescent="0.35">
      <c r="A227" s="31"/>
      <c r="B227" s="30"/>
      <c r="C227" s="72" t="str">
        <f>IF($B227="","",IFERROR(INDEX(الموظفون!$C$6:$C$45,MATCH($B227,الموظفون!$B$6:$B$45,0)),""))</f>
        <v/>
      </c>
      <c r="D227" s="73" t="str">
        <f>IF($B227="","",IFERROR(INDEX(الموظفون!$M$6:$M$45,MATCH($B227,الموظفون!$B$6:$B$45,0)),""))</f>
        <v/>
      </c>
      <c r="E227" s="49"/>
      <c r="F227" s="49"/>
      <c r="G227" s="74" t="str">
        <f t="shared" si="6"/>
        <v/>
      </c>
      <c r="H227" s="75" t="str">
        <f t="shared" si="7"/>
        <v/>
      </c>
      <c r="I227" s="75" t="str">
        <f>IF($H227="","",MAX(0,ROUND($H227-الإعدادات!$C$24-الإعدادات!$C$27,2)))</f>
        <v/>
      </c>
      <c r="J227" s="76" t="str">
        <f>IF(OR($B227="",$G227="",$G227&lt;=0),"",COUNTIFS($B$6:$B227,$B227,$G$6:$G227,"&gt;0"))</f>
        <v/>
      </c>
      <c r="K227" s="75" t="str">
        <f>IF($J227="","",INDEX(الجزاءات!$E$6:$H$9,MATCH($G227,الجزاءات!$B$6:$B$9,1),MIN($J227,4)))</f>
        <v/>
      </c>
      <c r="L227" s="45"/>
    </row>
    <row r="228" spans="1:12" ht="15.75" customHeight="1" x14ac:dyDescent="0.35">
      <c r="A228" s="31"/>
      <c r="B228" s="30"/>
      <c r="C228" s="72" t="str">
        <f>IF($B228="","",IFERROR(INDEX(الموظفون!$C$6:$C$45,MATCH($B228,الموظفون!$B$6:$B$45,0)),""))</f>
        <v/>
      </c>
      <c r="D228" s="73" t="str">
        <f>IF($B228="","",IFERROR(INDEX(الموظفون!$M$6:$M$45,MATCH($B228,الموظفون!$B$6:$B$45,0)),""))</f>
        <v/>
      </c>
      <c r="E228" s="49"/>
      <c r="F228" s="49"/>
      <c r="G228" s="74" t="str">
        <f t="shared" si="6"/>
        <v/>
      </c>
      <c r="H228" s="75" t="str">
        <f t="shared" si="7"/>
        <v/>
      </c>
      <c r="I228" s="75" t="str">
        <f>IF($H228="","",MAX(0,ROUND($H228-الإعدادات!$C$24-الإعدادات!$C$27,2)))</f>
        <v/>
      </c>
      <c r="J228" s="76" t="str">
        <f>IF(OR($B228="",$G228="",$G228&lt;=0),"",COUNTIFS($B$6:$B228,$B228,$G$6:$G228,"&gt;0"))</f>
        <v/>
      </c>
      <c r="K228" s="75" t="str">
        <f>IF($J228="","",INDEX(الجزاءات!$E$6:$H$9,MATCH($G228,الجزاءات!$B$6:$B$9,1),MIN($J228,4)))</f>
        <v/>
      </c>
      <c r="L228" s="45"/>
    </row>
    <row r="229" spans="1:12" ht="15.75" customHeight="1" x14ac:dyDescent="0.35">
      <c r="A229" s="31"/>
      <c r="B229" s="30"/>
      <c r="C229" s="72" t="str">
        <f>IF($B229="","",IFERROR(INDEX(الموظفون!$C$6:$C$45,MATCH($B229,الموظفون!$B$6:$B$45,0)),""))</f>
        <v/>
      </c>
      <c r="D229" s="73" t="str">
        <f>IF($B229="","",IFERROR(INDEX(الموظفون!$M$6:$M$45,MATCH($B229,الموظفون!$B$6:$B$45,0)),""))</f>
        <v/>
      </c>
      <c r="E229" s="49"/>
      <c r="F229" s="49"/>
      <c r="G229" s="74" t="str">
        <f t="shared" si="6"/>
        <v/>
      </c>
      <c r="H229" s="75" t="str">
        <f t="shared" si="7"/>
        <v/>
      </c>
      <c r="I229" s="75" t="str">
        <f>IF($H229="","",MAX(0,ROUND($H229-الإعدادات!$C$24-الإعدادات!$C$27,2)))</f>
        <v/>
      </c>
      <c r="J229" s="76" t="str">
        <f>IF(OR($B229="",$G229="",$G229&lt;=0),"",COUNTIFS($B$6:$B229,$B229,$G$6:$G229,"&gt;0"))</f>
        <v/>
      </c>
      <c r="K229" s="75" t="str">
        <f>IF($J229="","",INDEX(الجزاءات!$E$6:$H$9,MATCH($G229,الجزاءات!$B$6:$B$9,1),MIN($J229,4)))</f>
        <v/>
      </c>
      <c r="L229" s="45"/>
    </row>
    <row r="230" spans="1:12" ht="15.75" customHeight="1" x14ac:dyDescent="0.35">
      <c r="A230" s="31"/>
      <c r="B230" s="30"/>
      <c r="C230" s="72" t="str">
        <f>IF($B230="","",IFERROR(INDEX(الموظفون!$C$6:$C$45,MATCH($B230,الموظفون!$B$6:$B$45,0)),""))</f>
        <v/>
      </c>
      <c r="D230" s="73" t="str">
        <f>IF($B230="","",IFERROR(INDEX(الموظفون!$M$6:$M$45,MATCH($B230,الموظفون!$B$6:$B$45,0)),""))</f>
        <v/>
      </c>
      <c r="E230" s="49"/>
      <c r="F230" s="49"/>
      <c r="G230" s="74" t="str">
        <f t="shared" si="6"/>
        <v/>
      </c>
      <c r="H230" s="75" t="str">
        <f t="shared" si="7"/>
        <v/>
      </c>
      <c r="I230" s="75" t="str">
        <f>IF($H230="","",MAX(0,ROUND($H230-الإعدادات!$C$24-الإعدادات!$C$27,2)))</f>
        <v/>
      </c>
      <c r="J230" s="76" t="str">
        <f>IF(OR($B230="",$G230="",$G230&lt;=0),"",COUNTIFS($B$6:$B230,$B230,$G$6:$G230,"&gt;0"))</f>
        <v/>
      </c>
      <c r="K230" s="75" t="str">
        <f>IF($J230="","",INDEX(الجزاءات!$E$6:$H$9,MATCH($G230,الجزاءات!$B$6:$B$9,1),MIN($J230,4)))</f>
        <v/>
      </c>
      <c r="L230" s="45"/>
    </row>
    <row r="231" spans="1:12" ht="15.75" customHeight="1" x14ac:dyDescent="0.35">
      <c r="A231" s="31"/>
      <c r="B231" s="30"/>
      <c r="C231" s="72" t="str">
        <f>IF($B231="","",IFERROR(INDEX(الموظفون!$C$6:$C$45,MATCH($B231,الموظفون!$B$6:$B$45,0)),""))</f>
        <v/>
      </c>
      <c r="D231" s="73" t="str">
        <f>IF($B231="","",IFERROR(INDEX(الموظفون!$M$6:$M$45,MATCH($B231,الموظفون!$B$6:$B$45,0)),""))</f>
        <v/>
      </c>
      <c r="E231" s="49"/>
      <c r="F231" s="49"/>
      <c r="G231" s="74" t="str">
        <f t="shared" si="6"/>
        <v/>
      </c>
      <c r="H231" s="75" t="str">
        <f t="shared" si="7"/>
        <v/>
      </c>
      <c r="I231" s="75" t="str">
        <f>IF($H231="","",MAX(0,ROUND($H231-الإعدادات!$C$24-الإعدادات!$C$27,2)))</f>
        <v/>
      </c>
      <c r="J231" s="76" t="str">
        <f>IF(OR($B231="",$G231="",$G231&lt;=0),"",COUNTIFS($B$6:$B231,$B231,$G$6:$G231,"&gt;0"))</f>
        <v/>
      </c>
      <c r="K231" s="75" t="str">
        <f>IF($J231="","",INDEX(الجزاءات!$E$6:$H$9,MATCH($G231,الجزاءات!$B$6:$B$9,1),MIN($J231,4)))</f>
        <v/>
      </c>
      <c r="L231" s="45"/>
    </row>
    <row r="232" spans="1:12" ht="15.75" customHeight="1" x14ac:dyDescent="0.35">
      <c r="A232" s="31"/>
      <c r="B232" s="30"/>
      <c r="C232" s="72" t="str">
        <f>IF($B232="","",IFERROR(INDEX(الموظفون!$C$6:$C$45,MATCH($B232,الموظفون!$B$6:$B$45,0)),""))</f>
        <v/>
      </c>
      <c r="D232" s="73" t="str">
        <f>IF($B232="","",IFERROR(INDEX(الموظفون!$M$6:$M$45,MATCH($B232,الموظفون!$B$6:$B$45,0)),""))</f>
        <v/>
      </c>
      <c r="E232" s="49"/>
      <c r="F232" s="49"/>
      <c r="G232" s="74" t="str">
        <f t="shared" si="6"/>
        <v/>
      </c>
      <c r="H232" s="75" t="str">
        <f t="shared" si="7"/>
        <v/>
      </c>
      <c r="I232" s="75" t="str">
        <f>IF($H232="","",MAX(0,ROUND($H232-الإعدادات!$C$24-الإعدادات!$C$27,2)))</f>
        <v/>
      </c>
      <c r="J232" s="76" t="str">
        <f>IF(OR($B232="",$G232="",$G232&lt;=0),"",COUNTIFS($B$6:$B232,$B232,$G$6:$G232,"&gt;0"))</f>
        <v/>
      </c>
      <c r="K232" s="75" t="str">
        <f>IF($J232="","",INDEX(الجزاءات!$E$6:$H$9,MATCH($G232,الجزاءات!$B$6:$B$9,1),MIN($J232,4)))</f>
        <v/>
      </c>
      <c r="L232" s="45"/>
    </row>
    <row r="233" spans="1:12" ht="15.75" customHeight="1" x14ac:dyDescent="0.35">
      <c r="A233" s="31"/>
      <c r="B233" s="30"/>
      <c r="C233" s="72" t="str">
        <f>IF($B233="","",IFERROR(INDEX(الموظفون!$C$6:$C$45,MATCH($B233,الموظفون!$B$6:$B$45,0)),""))</f>
        <v/>
      </c>
      <c r="D233" s="73" t="str">
        <f>IF($B233="","",IFERROR(INDEX(الموظفون!$M$6:$M$45,MATCH($B233,الموظفون!$B$6:$B$45,0)),""))</f>
        <v/>
      </c>
      <c r="E233" s="49"/>
      <c r="F233" s="49"/>
      <c r="G233" s="74" t="str">
        <f t="shared" si="6"/>
        <v/>
      </c>
      <c r="H233" s="75" t="str">
        <f t="shared" si="7"/>
        <v/>
      </c>
      <c r="I233" s="75" t="str">
        <f>IF($H233="","",MAX(0,ROUND($H233-الإعدادات!$C$24-الإعدادات!$C$27,2)))</f>
        <v/>
      </c>
      <c r="J233" s="76" t="str">
        <f>IF(OR($B233="",$G233="",$G233&lt;=0),"",COUNTIFS($B$6:$B233,$B233,$G$6:$G233,"&gt;0"))</f>
        <v/>
      </c>
      <c r="K233" s="75" t="str">
        <f>IF($J233="","",INDEX(الجزاءات!$E$6:$H$9,MATCH($G233,الجزاءات!$B$6:$B$9,1),MIN($J233,4)))</f>
        <v/>
      </c>
      <c r="L233" s="45"/>
    </row>
    <row r="234" spans="1:12" ht="15.75" customHeight="1" x14ac:dyDescent="0.35">
      <c r="A234" s="31"/>
      <c r="B234" s="30"/>
      <c r="C234" s="72" t="str">
        <f>IF($B234="","",IFERROR(INDEX(الموظفون!$C$6:$C$45,MATCH($B234,الموظفون!$B$6:$B$45,0)),""))</f>
        <v/>
      </c>
      <c r="D234" s="73" t="str">
        <f>IF($B234="","",IFERROR(INDEX(الموظفون!$M$6:$M$45,MATCH($B234,الموظفون!$B$6:$B$45,0)),""))</f>
        <v/>
      </c>
      <c r="E234" s="49"/>
      <c r="F234" s="49"/>
      <c r="G234" s="74" t="str">
        <f t="shared" si="6"/>
        <v/>
      </c>
      <c r="H234" s="75" t="str">
        <f t="shared" si="7"/>
        <v/>
      </c>
      <c r="I234" s="75" t="str">
        <f>IF($H234="","",MAX(0,ROUND($H234-الإعدادات!$C$24-الإعدادات!$C$27,2)))</f>
        <v/>
      </c>
      <c r="J234" s="76" t="str">
        <f>IF(OR($B234="",$G234="",$G234&lt;=0),"",COUNTIFS($B$6:$B234,$B234,$G$6:$G234,"&gt;0"))</f>
        <v/>
      </c>
      <c r="K234" s="75" t="str">
        <f>IF($J234="","",INDEX(الجزاءات!$E$6:$H$9,MATCH($G234,الجزاءات!$B$6:$B$9,1),MIN($J234,4)))</f>
        <v/>
      </c>
      <c r="L234" s="45"/>
    </row>
    <row r="235" spans="1:12" ht="15.75" customHeight="1" x14ac:dyDescent="0.35">
      <c r="A235" s="31"/>
      <c r="B235" s="30"/>
      <c r="C235" s="72" t="str">
        <f>IF($B235="","",IFERROR(INDEX(الموظفون!$C$6:$C$45,MATCH($B235,الموظفون!$B$6:$B$45,0)),""))</f>
        <v/>
      </c>
      <c r="D235" s="73" t="str">
        <f>IF($B235="","",IFERROR(INDEX(الموظفون!$M$6:$M$45,MATCH($B235,الموظفون!$B$6:$B$45,0)),""))</f>
        <v/>
      </c>
      <c r="E235" s="49"/>
      <c r="F235" s="49"/>
      <c r="G235" s="74" t="str">
        <f t="shared" si="6"/>
        <v/>
      </c>
      <c r="H235" s="75" t="str">
        <f t="shared" si="7"/>
        <v/>
      </c>
      <c r="I235" s="75" t="str">
        <f>IF($H235="","",MAX(0,ROUND($H235-الإعدادات!$C$24-الإعدادات!$C$27,2)))</f>
        <v/>
      </c>
      <c r="J235" s="76" t="str">
        <f>IF(OR($B235="",$G235="",$G235&lt;=0),"",COUNTIFS($B$6:$B235,$B235,$G$6:$G235,"&gt;0"))</f>
        <v/>
      </c>
      <c r="K235" s="75" t="str">
        <f>IF($J235="","",INDEX(الجزاءات!$E$6:$H$9,MATCH($G235,الجزاءات!$B$6:$B$9,1),MIN($J235,4)))</f>
        <v/>
      </c>
      <c r="L235" s="45"/>
    </row>
    <row r="236" spans="1:12" ht="15.75" customHeight="1" x14ac:dyDescent="0.35">
      <c r="A236" s="31"/>
      <c r="B236" s="30"/>
      <c r="C236" s="72" t="str">
        <f>IF($B236="","",IFERROR(INDEX(الموظفون!$C$6:$C$45,MATCH($B236,الموظفون!$B$6:$B$45,0)),""))</f>
        <v/>
      </c>
      <c r="D236" s="73" t="str">
        <f>IF($B236="","",IFERROR(INDEX(الموظفون!$M$6:$M$45,MATCH($B236,الموظفون!$B$6:$B$45,0)),""))</f>
        <v/>
      </c>
      <c r="E236" s="49"/>
      <c r="F236" s="49"/>
      <c r="G236" s="74" t="str">
        <f t="shared" si="6"/>
        <v/>
      </c>
      <c r="H236" s="75" t="str">
        <f t="shared" si="7"/>
        <v/>
      </c>
      <c r="I236" s="75" t="str">
        <f>IF($H236="","",MAX(0,ROUND($H236-الإعدادات!$C$24-الإعدادات!$C$27,2)))</f>
        <v/>
      </c>
      <c r="J236" s="76" t="str">
        <f>IF(OR($B236="",$G236="",$G236&lt;=0),"",COUNTIFS($B$6:$B236,$B236,$G$6:$G236,"&gt;0"))</f>
        <v/>
      </c>
      <c r="K236" s="75" t="str">
        <f>IF($J236="","",INDEX(الجزاءات!$E$6:$H$9,MATCH($G236,الجزاءات!$B$6:$B$9,1),MIN($J236,4)))</f>
        <v/>
      </c>
      <c r="L236" s="45"/>
    </row>
    <row r="237" spans="1:12" ht="15.75" customHeight="1" x14ac:dyDescent="0.35">
      <c r="A237" s="31"/>
      <c r="B237" s="30"/>
      <c r="C237" s="72" t="str">
        <f>IF($B237="","",IFERROR(INDEX(الموظفون!$C$6:$C$45,MATCH($B237,الموظفون!$B$6:$B$45,0)),""))</f>
        <v/>
      </c>
      <c r="D237" s="73" t="str">
        <f>IF($B237="","",IFERROR(INDEX(الموظفون!$M$6:$M$45,MATCH($B237,الموظفون!$B$6:$B$45,0)),""))</f>
        <v/>
      </c>
      <c r="E237" s="49"/>
      <c r="F237" s="49"/>
      <c r="G237" s="74" t="str">
        <f t="shared" si="6"/>
        <v/>
      </c>
      <c r="H237" s="75" t="str">
        <f t="shared" si="7"/>
        <v/>
      </c>
      <c r="I237" s="75" t="str">
        <f>IF($H237="","",MAX(0,ROUND($H237-الإعدادات!$C$24-الإعدادات!$C$27,2)))</f>
        <v/>
      </c>
      <c r="J237" s="76" t="str">
        <f>IF(OR($B237="",$G237="",$G237&lt;=0),"",COUNTIFS($B$6:$B237,$B237,$G$6:$G237,"&gt;0"))</f>
        <v/>
      </c>
      <c r="K237" s="75" t="str">
        <f>IF($J237="","",INDEX(الجزاءات!$E$6:$H$9,MATCH($G237,الجزاءات!$B$6:$B$9,1),MIN($J237,4)))</f>
        <v/>
      </c>
      <c r="L237" s="45"/>
    </row>
    <row r="238" spans="1:12" ht="15.75" customHeight="1" x14ac:dyDescent="0.35">
      <c r="A238" s="31"/>
      <c r="B238" s="30"/>
      <c r="C238" s="72" t="str">
        <f>IF($B238="","",IFERROR(INDEX(الموظفون!$C$6:$C$45,MATCH($B238,الموظفون!$B$6:$B$45,0)),""))</f>
        <v/>
      </c>
      <c r="D238" s="73" t="str">
        <f>IF($B238="","",IFERROR(INDEX(الموظفون!$M$6:$M$45,MATCH($B238,الموظفون!$B$6:$B$45,0)),""))</f>
        <v/>
      </c>
      <c r="E238" s="49"/>
      <c r="F238" s="49"/>
      <c r="G238" s="74" t="str">
        <f t="shared" si="6"/>
        <v/>
      </c>
      <c r="H238" s="75" t="str">
        <f t="shared" si="7"/>
        <v/>
      </c>
      <c r="I238" s="75" t="str">
        <f>IF($H238="","",MAX(0,ROUND($H238-الإعدادات!$C$24-الإعدادات!$C$27,2)))</f>
        <v/>
      </c>
      <c r="J238" s="76" t="str">
        <f>IF(OR($B238="",$G238="",$G238&lt;=0),"",COUNTIFS($B$6:$B238,$B238,$G$6:$G238,"&gt;0"))</f>
        <v/>
      </c>
      <c r="K238" s="75" t="str">
        <f>IF($J238="","",INDEX(الجزاءات!$E$6:$H$9,MATCH($G238,الجزاءات!$B$6:$B$9,1),MIN($J238,4)))</f>
        <v/>
      </c>
      <c r="L238" s="45"/>
    </row>
    <row r="239" spans="1:12" ht="15.75" customHeight="1" x14ac:dyDescent="0.35">
      <c r="A239" s="31"/>
      <c r="B239" s="30"/>
      <c r="C239" s="72" t="str">
        <f>IF($B239="","",IFERROR(INDEX(الموظفون!$C$6:$C$45,MATCH($B239,الموظفون!$B$6:$B$45,0)),""))</f>
        <v/>
      </c>
      <c r="D239" s="73" t="str">
        <f>IF($B239="","",IFERROR(INDEX(الموظفون!$M$6:$M$45,MATCH($B239,الموظفون!$B$6:$B$45,0)),""))</f>
        <v/>
      </c>
      <c r="E239" s="49"/>
      <c r="F239" s="49"/>
      <c r="G239" s="74" t="str">
        <f t="shared" si="6"/>
        <v/>
      </c>
      <c r="H239" s="75" t="str">
        <f t="shared" si="7"/>
        <v/>
      </c>
      <c r="I239" s="75" t="str">
        <f>IF($H239="","",MAX(0,ROUND($H239-الإعدادات!$C$24-الإعدادات!$C$27,2)))</f>
        <v/>
      </c>
      <c r="J239" s="76" t="str">
        <f>IF(OR($B239="",$G239="",$G239&lt;=0),"",COUNTIFS($B$6:$B239,$B239,$G$6:$G239,"&gt;0"))</f>
        <v/>
      </c>
      <c r="K239" s="75" t="str">
        <f>IF($J239="","",INDEX(الجزاءات!$E$6:$H$9,MATCH($G239,الجزاءات!$B$6:$B$9,1),MIN($J239,4)))</f>
        <v/>
      </c>
      <c r="L239" s="45"/>
    </row>
    <row r="240" spans="1:12" ht="15.75" customHeight="1" x14ac:dyDescent="0.35">
      <c r="A240" s="31"/>
      <c r="B240" s="30"/>
      <c r="C240" s="72" t="str">
        <f>IF($B240="","",IFERROR(INDEX(الموظفون!$C$6:$C$45,MATCH($B240,الموظفون!$B$6:$B$45,0)),""))</f>
        <v/>
      </c>
      <c r="D240" s="73" t="str">
        <f>IF($B240="","",IFERROR(INDEX(الموظفون!$M$6:$M$45,MATCH($B240,الموظفون!$B$6:$B$45,0)),""))</f>
        <v/>
      </c>
      <c r="E240" s="49"/>
      <c r="F240" s="49"/>
      <c r="G240" s="74" t="str">
        <f t="shared" si="6"/>
        <v/>
      </c>
      <c r="H240" s="75" t="str">
        <f t="shared" si="7"/>
        <v/>
      </c>
      <c r="I240" s="75" t="str">
        <f>IF($H240="","",MAX(0,ROUND($H240-الإعدادات!$C$24-الإعدادات!$C$27,2)))</f>
        <v/>
      </c>
      <c r="J240" s="76" t="str">
        <f>IF(OR($B240="",$G240="",$G240&lt;=0),"",COUNTIFS($B$6:$B240,$B240,$G$6:$G240,"&gt;0"))</f>
        <v/>
      </c>
      <c r="K240" s="75" t="str">
        <f>IF($J240="","",INDEX(الجزاءات!$E$6:$H$9,MATCH($G240,الجزاءات!$B$6:$B$9,1),MIN($J240,4)))</f>
        <v/>
      </c>
      <c r="L240" s="45"/>
    </row>
    <row r="241" spans="1:12" ht="15.75" customHeight="1" x14ac:dyDescent="0.35">
      <c r="A241" s="31"/>
      <c r="B241" s="30"/>
      <c r="C241" s="72" t="str">
        <f>IF($B241="","",IFERROR(INDEX(الموظفون!$C$6:$C$45,MATCH($B241,الموظفون!$B$6:$B$45,0)),""))</f>
        <v/>
      </c>
      <c r="D241" s="73" t="str">
        <f>IF($B241="","",IFERROR(INDEX(الموظفون!$M$6:$M$45,MATCH($B241,الموظفون!$B$6:$B$45,0)),""))</f>
        <v/>
      </c>
      <c r="E241" s="49"/>
      <c r="F241" s="49"/>
      <c r="G241" s="74" t="str">
        <f t="shared" si="6"/>
        <v/>
      </c>
      <c r="H241" s="75" t="str">
        <f t="shared" si="7"/>
        <v/>
      </c>
      <c r="I241" s="75" t="str">
        <f>IF($H241="","",MAX(0,ROUND($H241-الإعدادات!$C$24-الإعدادات!$C$27,2)))</f>
        <v/>
      </c>
      <c r="J241" s="76" t="str">
        <f>IF(OR($B241="",$G241="",$G241&lt;=0),"",COUNTIFS($B$6:$B241,$B241,$G$6:$G241,"&gt;0"))</f>
        <v/>
      </c>
      <c r="K241" s="75" t="str">
        <f>IF($J241="","",INDEX(الجزاءات!$E$6:$H$9,MATCH($G241,الجزاءات!$B$6:$B$9,1),MIN($J241,4)))</f>
        <v/>
      </c>
      <c r="L241" s="45"/>
    </row>
    <row r="242" spans="1:12" ht="15.75" customHeight="1" x14ac:dyDescent="0.35">
      <c r="A242" s="31"/>
      <c r="B242" s="30"/>
      <c r="C242" s="72" t="str">
        <f>IF($B242="","",IFERROR(INDEX(الموظفون!$C$6:$C$45,MATCH($B242,الموظفون!$B$6:$B$45,0)),""))</f>
        <v/>
      </c>
      <c r="D242" s="73" t="str">
        <f>IF($B242="","",IFERROR(INDEX(الموظفون!$M$6:$M$45,MATCH($B242,الموظفون!$B$6:$B$45,0)),""))</f>
        <v/>
      </c>
      <c r="E242" s="49"/>
      <c r="F242" s="49"/>
      <c r="G242" s="74" t="str">
        <f t="shared" si="6"/>
        <v/>
      </c>
      <c r="H242" s="75" t="str">
        <f t="shared" si="7"/>
        <v/>
      </c>
      <c r="I242" s="75" t="str">
        <f>IF($H242="","",MAX(0,ROUND($H242-الإعدادات!$C$24-الإعدادات!$C$27,2)))</f>
        <v/>
      </c>
      <c r="J242" s="76" t="str">
        <f>IF(OR($B242="",$G242="",$G242&lt;=0),"",COUNTIFS($B$6:$B242,$B242,$G$6:$G242,"&gt;0"))</f>
        <v/>
      </c>
      <c r="K242" s="75" t="str">
        <f>IF($J242="","",INDEX(الجزاءات!$E$6:$H$9,MATCH($G242,الجزاءات!$B$6:$B$9,1),MIN($J242,4)))</f>
        <v/>
      </c>
      <c r="L242" s="45"/>
    </row>
    <row r="243" spans="1:12" ht="15.75" customHeight="1" x14ac:dyDescent="0.35">
      <c r="A243" s="31"/>
      <c r="B243" s="30"/>
      <c r="C243" s="72" t="str">
        <f>IF($B243="","",IFERROR(INDEX(الموظفون!$C$6:$C$45,MATCH($B243,الموظفون!$B$6:$B$45,0)),""))</f>
        <v/>
      </c>
      <c r="D243" s="73" t="str">
        <f>IF($B243="","",IFERROR(INDEX(الموظفون!$M$6:$M$45,MATCH($B243,الموظفون!$B$6:$B$45,0)),""))</f>
        <v/>
      </c>
      <c r="E243" s="49"/>
      <c r="F243" s="49"/>
      <c r="G243" s="74" t="str">
        <f t="shared" si="6"/>
        <v/>
      </c>
      <c r="H243" s="75" t="str">
        <f t="shared" si="7"/>
        <v/>
      </c>
      <c r="I243" s="75" t="str">
        <f>IF($H243="","",MAX(0,ROUND($H243-الإعدادات!$C$24-الإعدادات!$C$27,2)))</f>
        <v/>
      </c>
      <c r="J243" s="76" t="str">
        <f>IF(OR($B243="",$G243="",$G243&lt;=0),"",COUNTIFS($B$6:$B243,$B243,$G$6:$G243,"&gt;0"))</f>
        <v/>
      </c>
      <c r="K243" s="75" t="str">
        <f>IF($J243="","",INDEX(الجزاءات!$E$6:$H$9,MATCH($G243,الجزاءات!$B$6:$B$9,1),MIN($J243,4)))</f>
        <v/>
      </c>
      <c r="L243" s="45"/>
    </row>
    <row r="244" spans="1:12" ht="15.75" customHeight="1" x14ac:dyDescent="0.35">
      <c r="A244" s="31"/>
      <c r="B244" s="30"/>
      <c r="C244" s="72" t="str">
        <f>IF($B244="","",IFERROR(INDEX(الموظفون!$C$6:$C$45,MATCH($B244,الموظفون!$B$6:$B$45,0)),""))</f>
        <v/>
      </c>
      <c r="D244" s="73" t="str">
        <f>IF($B244="","",IFERROR(INDEX(الموظفون!$M$6:$M$45,MATCH($B244,الموظفون!$B$6:$B$45,0)),""))</f>
        <v/>
      </c>
      <c r="E244" s="49"/>
      <c r="F244" s="49"/>
      <c r="G244" s="74" t="str">
        <f t="shared" si="6"/>
        <v/>
      </c>
      <c r="H244" s="75" t="str">
        <f t="shared" si="7"/>
        <v/>
      </c>
      <c r="I244" s="75" t="str">
        <f>IF($H244="","",MAX(0,ROUND($H244-الإعدادات!$C$24-الإعدادات!$C$27,2)))</f>
        <v/>
      </c>
      <c r="J244" s="76" t="str">
        <f>IF(OR($B244="",$G244="",$G244&lt;=0),"",COUNTIFS($B$6:$B244,$B244,$G$6:$G244,"&gt;0"))</f>
        <v/>
      </c>
      <c r="K244" s="75" t="str">
        <f>IF($J244="","",INDEX(الجزاءات!$E$6:$H$9,MATCH($G244,الجزاءات!$B$6:$B$9,1),MIN($J244,4)))</f>
        <v/>
      </c>
      <c r="L244" s="45"/>
    </row>
    <row r="245" spans="1:12" ht="15.75" customHeight="1" x14ac:dyDescent="0.35">
      <c r="A245" s="31"/>
      <c r="B245" s="30"/>
      <c r="C245" s="72" t="str">
        <f>IF($B245="","",IFERROR(INDEX(الموظفون!$C$6:$C$45,MATCH($B245,الموظفون!$B$6:$B$45,0)),""))</f>
        <v/>
      </c>
      <c r="D245" s="73" t="str">
        <f>IF($B245="","",IFERROR(INDEX(الموظفون!$M$6:$M$45,MATCH($B245,الموظفون!$B$6:$B$45,0)),""))</f>
        <v/>
      </c>
      <c r="E245" s="49"/>
      <c r="F245" s="49"/>
      <c r="G245" s="74" t="str">
        <f t="shared" si="6"/>
        <v/>
      </c>
      <c r="H245" s="75" t="str">
        <f t="shared" si="7"/>
        <v/>
      </c>
      <c r="I245" s="75" t="str">
        <f>IF($H245="","",MAX(0,ROUND($H245-الإعدادات!$C$24-الإعدادات!$C$27,2)))</f>
        <v/>
      </c>
      <c r="J245" s="76" t="str">
        <f>IF(OR($B245="",$G245="",$G245&lt;=0),"",COUNTIFS($B$6:$B245,$B245,$G$6:$G245,"&gt;0"))</f>
        <v/>
      </c>
      <c r="K245" s="75" t="str">
        <f>IF($J245="","",INDEX(الجزاءات!$E$6:$H$9,MATCH($G245,الجزاءات!$B$6:$B$9,1),MIN($J245,4)))</f>
        <v/>
      </c>
      <c r="L245" s="45"/>
    </row>
    <row r="246" spans="1:12" ht="15.75" customHeight="1" x14ac:dyDescent="0.35">
      <c r="A246" s="31"/>
      <c r="B246" s="30"/>
      <c r="C246" s="72" t="str">
        <f>IF($B246="","",IFERROR(INDEX(الموظفون!$C$6:$C$45,MATCH($B246,الموظفون!$B$6:$B$45,0)),""))</f>
        <v/>
      </c>
      <c r="D246" s="73" t="str">
        <f>IF($B246="","",IFERROR(INDEX(الموظفون!$M$6:$M$45,MATCH($B246,الموظفون!$B$6:$B$45,0)),""))</f>
        <v/>
      </c>
      <c r="E246" s="49"/>
      <c r="F246" s="49"/>
      <c r="G246" s="74" t="str">
        <f t="shared" si="6"/>
        <v/>
      </c>
      <c r="H246" s="75" t="str">
        <f t="shared" si="7"/>
        <v/>
      </c>
      <c r="I246" s="75" t="str">
        <f>IF($H246="","",MAX(0,ROUND($H246-الإعدادات!$C$24-الإعدادات!$C$27,2)))</f>
        <v/>
      </c>
      <c r="J246" s="76" t="str">
        <f>IF(OR($B246="",$G246="",$G246&lt;=0),"",COUNTIFS($B$6:$B246,$B246,$G$6:$G246,"&gt;0"))</f>
        <v/>
      </c>
      <c r="K246" s="75" t="str">
        <f>IF($J246="","",INDEX(الجزاءات!$E$6:$H$9,MATCH($G246,الجزاءات!$B$6:$B$9,1),MIN($J246,4)))</f>
        <v/>
      </c>
      <c r="L246" s="45"/>
    </row>
    <row r="247" spans="1:12" ht="15.75" customHeight="1" x14ac:dyDescent="0.35">
      <c r="A247" s="31"/>
      <c r="B247" s="30"/>
      <c r="C247" s="72" t="str">
        <f>IF($B247="","",IFERROR(INDEX(الموظفون!$C$6:$C$45,MATCH($B247,الموظفون!$B$6:$B$45,0)),""))</f>
        <v/>
      </c>
      <c r="D247" s="73" t="str">
        <f>IF($B247="","",IFERROR(INDEX(الموظفون!$M$6:$M$45,MATCH($B247,الموظفون!$B$6:$B$45,0)),""))</f>
        <v/>
      </c>
      <c r="E247" s="49"/>
      <c r="F247" s="49"/>
      <c r="G247" s="74" t="str">
        <f t="shared" si="6"/>
        <v/>
      </c>
      <c r="H247" s="75" t="str">
        <f t="shared" si="7"/>
        <v/>
      </c>
      <c r="I247" s="75" t="str">
        <f>IF($H247="","",MAX(0,ROUND($H247-الإعدادات!$C$24-الإعدادات!$C$27,2)))</f>
        <v/>
      </c>
      <c r="J247" s="76" t="str">
        <f>IF(OR($B247="",$G247="",$G247&lt;=0),"",COUNTIFS($B$6:$B247,$B247,$G$6:$G247,"&gt;0"))</f>
        <v/>
      </c>
      <c r="K247" s="75" t="str">
        <f>IF($J247="","",INDEX(الجزاءات!$E$6:$H$9,MATCH($G247,الجزاءات!$B$6:$B$9,1),MIN($J247,4)))</f>
        <v/>
      </c>
      <c r="L247" s="45"/>
    </row>
    <row r="248" spans="1:12" ht="15.75" customHeight="1" x14ac:dyDescent="0.35">
      <c r="A248" s="31"/>
      <c r="B248" s="30"/>
      <c r="C248" s="72" t="str">
        <f>IF($B248="","",IFERROR(INDEX(الموظفون!$C$6:$C$45,MATCH($B248,الموظفون!$B$6:$B$45,0)),""))</f>
        <v/>
      </c>
      <c r="D248" s="73" t="str">
        <f>IF($B248="","",IFERROR(INDEX(الموظفون!$M$6:$M$45,MATCH($B248,الموظفون!$B$6:$B$45,0)),""))</f>
        <v/>
      </c>
      <c r="E248" s="49"/>
      <c r="F248" s="49"/>
      <c r="G248" s="74" t="str">
        <f t="shared" si="6"/>
        <v/>
      </c>
      <c r="H248" s="75" t="str">
        <f t="shared" si="7"/>
        <v/>
      </c>
      <c r="I248" s="75" t="str">
        <f>IF($H248="","",MAX(0,ROUND($H248-الإعدادات!$C$24-الإعدادات!$C$27,2)))</f>
        <v/>
      </c>
      <c r="J248" s="76" t="str">
        <f>IF(OR($B248="",$G248="",$G248&lt;=0),"",COUNTIFS($B$6:$B248,$B248,$G$6:$G248,"&gt;0"))</f>
        <v/>
      </c>
      <c r="K248" s="75" t="str">
        <f>IF($J248="","",INDEX(الجزاءات!$E$6:$H$9,MATCH($G248,الجزاءات!$B$6:$B$9,1),MIN($J248,4)))</f>
        <v/>
      </c>
      <c r="L248" s="45"/>
    </row>
    <row r="249" spans="1:12" ht="15.75" customHeight="1" x14ac:dyDescent="0.35">
      <c r="A249" s="31"/>
      <c r="B249" s="30"/>
      <c r="C249" s="72" t="str">
        <f>IF($B249="","",IFERROR(INDEX(الموظفون!$C$6:$C$45,MATCH($B249,الموظفون!$B$6:$B$45,0)),""))</f>
        <v/>
      </c>
      <c r="D249" s="73" t="str">
        <f>IF($B249="","",IFERROR(INDEX(الموظفون!$M$6:$M$45,MATCH($B249,الموظفون!$B$6:$B$45,0)),""))</f>
        <v/>
      </c>
      <c r="E249" s="49"/>
      <c r="F249" s="49"/>
      <c r="G249" s="74" t="str">
        <f t="shared" si="6"/>
        <v/>
      </c>
      <c r="H249" s="75" t="str">
        <f t="shared" si="7"/>
        <v/>
      </c>
      <c r="I249" s="75" t="str">
        <f>IF($H249="","",MAX(0,ROUND($H249-الإعدادات!$C$24-الإعدادات!$C$27,2)))</f>
        <v/>
      </c>
      <c r="J249" s="76" t="str">
        <f>IF(OR($B249="",$G249="",$G249&lt;=0),"",COUNTIFS($B$6:$B249,$B249,$G$6:$G249,"&gt;0"))</f>
        <v/>
      </c>
      <c r="K249" s="75" t="str">
        <f>IF($J249="","",INDEX(الجزاءات!$E$6:$H$9,MATCH($G249,الجزاءات!$B$6:$B$9,1),MIN($J249,4)))</f>
        <v/>
      </c>
      <c r="L249" s="45"/>
    </row>
    <row r="250" spans="1:12" ht="15.75" customHeight="1" x14ac:dyDescent="0.35">
      <c r="A250" s="31"/>
      <c r="B250" s="30"/>
      <c r="C250" s="72" t="str">
        <f>IF($B250="","",IFERROR(INDEX(الموظفون!$C$6:$C$45,MATCH($B250,الموظفون!$B$6:$B$45,0)),""))</f>
        <v/>
      </c>
      <c r="D250" s="73" t="str">
        <f>IF($B250="","",IFERROR(INDEX(الموظفون!$M$6:$M$45,MATCH($B250,الموظفون!$B$6:$B$45,0)),""))</f>
        <v/>
      </c>
      <c r="E250" s="49"/>
      <c r="F250" s="49"/>
      <c r="G250" s="74" t="str">
        <f t="shared" si="6"/>
        <v/>
      </c>
      <c r="H250" s="75" t="str">
        <f t="shared" si="7"/>
        <v/>
      </c>
      <c r="I250" s="75" t="str">
        <f>IF($H250="","",MAX(0,ROUND($H250-الإعدادات!$C$24-الإعدادات!$C$27,2)))</f>
        <v/>
      </c>
      <c r="J250" s="76" t="str">
        <f>IF(OR($B250="",$G250="",$G250&lt;=0),"",COUNTIFS($B$6:$B250,$B250,$G$6:$G250,"&gt;0"))</f>
        <v/>
      </c>
      <c r="K250" s="75" t="str">
        <f>IF($J250="","",INDEX(الجزاءات!$E$6:$H$9,MATCH($G250,الجزاءات!$B$6:$B$9,1),MIN($J250,4)))</f>
        <v/>
      </c>
      <c r="L250" s="45"/>
    </row>
    <row r="251" spans="1:12" ht="15.75" customHeight="1" x14ac:dyDescent="0.35">
      <c r="A251" s="31"/>
      <c r="B251" s="30"/>
      <c r="C251" s="72" t="str">
        <f>IF($B251="","",IFERROR(INDEX(الموظفون!$C$6:$C$45,MATCH($B251,الموظفون!$B$6:$B$45,0)),""))</f>
        <v/>
      </c>
      <c r="D251" s="73" t="str">
        <f>IF($B251="","",IFERROR(INDEX(الموظفون!$M$6:$M$45,MATCH($B251,الموظفون!$B$6:$B$45,0)),""))</f>
        <v/>
      </c>
      <c r="E251" s="49"/>
      <c r="F251" s="49"/>
      <c r="G251" s="74" t="str">
        <f t="shared" si="6"/>
        <v/>
      </c>
      <c r="H251" s="75" t="str">
        <f t="shared" si="7"/>
        <v/>
      </c>
      <c r="I251" s="75" t="str">
        <f>IF($H251="","",MAX(0,ROUND($H251-الإعدادات!$C$24-الإعدادات!$C$27,2)))</f>
        <v/>
      </c>
      <c r="J251" s="76" t="str">
        <f>IF(OR($B251="",$G251="",$G251&lt;=0),"",COUNTIFS($B$6:$B251,$B251,$G$6:$G251,"&gt;0"))</f>
        <v/>
      </c>
      <c r="K251" s="75" t="str">
        <f>IF($J251="","",INDEX(الجزاءات!$E$6:$H$9,MATCH($G251,الجزاءات!$B$6:$B$9,1),MIN($J251,4)))</f>
        <v/>
      </c>
      <c r="L251" s="45"/>
    </row>
    <row r="252" spans="1:12" ht="15.75" customHeight="1" x14ac:dyDescent="0.35">
      <c r="A252" s="31"/>
      <c r="B252" s="30"/>
      <c r="C252" s="72" t="str">
        <f>IF($B252="","",IFERROR(INDEX(الموظفون!$C$6:$C$45,MATCH($B252,الموظفون!$B$6:$B$45,0)),""))</f>
        <v/>
      </c>
      <c r="D252" s="73" t="str">
        <f>IF($B252="","",IFERROR(INDEX(الموظفون!$M$6:$M$45,MATCH($B252,الموظفون!$B$6:$B$45,0)),""))</f>
        <v/>
      </c>
      <c r="E252" s="49"/>
      <c r="F252" s="49"/>
      <c r="G252" s="74" t="str">
        <f t="shared" si="6"/>
        <v/>
      </c>
      <c r="H252" s="75" t="str">
        <f t="shared" si="7"/>
        <v/>
      </c>
      <c r="I252" s="75" t="str">
        <f>IF($H252="","",MAX(0,ROUND($H252-الإعدادات!$C$24-الإعدادات!$C$27,2)))</f>
        <v/>
      </c>
      <c r="J252" s="76" t="str">
        <f>IF(OR($B252="",$G252="",$G252&lt;=0),"",COUNTIFS($B$6:$B252,$B252,$G$6:$G252,"&gt;0"))</f>
        <v/>
      </c>
      <c r="K252" s="75" t="str">
        <f>IF($J252="","",INDEX(الجزاءات!$E$6:$H$9,MATCH($G252,الجزاءات!$B$6:$B$9,1),MIN($J252,4)))</f>
        <v/>
      </c>
      <c r="L252" s="45"/>
    </row>
    <row r="253" spans="1:12" ht="15.75" customHeight="1" x14ac:dyDescent="0.35">
      <c r="A253" s="31"/>
      <c r="B253" s="30"/>
      <c r="C253" s="72" t="str">
        <f>IF($B253="","",IFERROR(INDEX(الموظفون!$C$6:$C$45,MATCH($B253,الموظفون!$B$6:$B$45,0)),""))</f>
        <v/>
      </c>
      <c r="D253" s="73" t="str">
        <f>IF($B253="","",IFERROR(INDEX(الموظفون!$M$6:$M$45,MATCH($B253,الموظفون!$B$6:$B$45,0)),""))</f>
        <v/>
      </c>
      <c r="E253" s="49"/>
      <c r="F253" s="49"/>
      <c r="G253" s="74" t="str">
        <f t="shared" si="6"/>
        <v/>
      </c>
      <c r="H253" s="75" t="str">
        <f t="shared" si="7"/>
        <v/>
      </c>
      <c r="I253" s="75" t="str">
        <f>IF($H253="","",MAX(0,ROUND($H253-الإعدادات!$C$24-الإعدادات!$C$27,2)))</f>
        <v/>
      </c>
      <c r="J253" s="76" t="str">
        <f>IF(OR($B253="",$G253="",$G253&lt;=0),"",COUNTIFS($B$6:$B253,$B253,$G$6:$G253,"&gt;0"))</f>
        <v/>
      </c>
      <c r="K253" s="75" t="str">
        <f>IF($J253="","",INDEX(الجزاءات!$E$6:$H$9,MATCH($G253,الجزاءات!$B$6:$B$9,1),MIN($J253,4)))</f>
        <v/>
      </c>
      <c r="L253" s="45"/>
    </row>
    <row r="254" spans="1:12" ht="15.75" customHeight="1" x14ac:dyDescent="0.35">
      <c r="A254" s="31"/>
      <c r="B254" s="30"/>
      <c r="C254" s="72" t="str">
        <f>IF($B254="","",IFERROR(INDEX(الموظفون!$C$6:$C$45,MATCH($B254,الموظفون!$B$6:$B$45,0)),""))</f>
        <v/>
      </c>
      <c r="D254" s="73" t="str">
        <f>IF($B254="","",IFERROR(INDEX(الموظفون!$M$6:$M$45,MATCH($B254,الموظفون!$B$6:$B$45,0)),""))</f>
        <v/>
      </c>
      <c r="E254" s="49"/>
      <c r="F254" s="49"/>
      <c r="G254" s="74" t="str">
        <f t="shared" si="6"/>
        <v/>
      </c>
      <c r="H254" s="75" t="str">
        <f t="shared" si="7"/>
        <v/>
      </c>
      <c r="I254" s="75" t="str">
        <f>IF($H254="","",MAX(0,ROUND($H254-الإعدادات!$C$24-الإعدادات!$C$27,2)))</f>
        <v/>
      </c>
      <c r="J254" s="76" t="str">
        <f>IF(OR($B254="",$G254="",$G254&lt;=0),"",COUNTIFS($B$6:$B254,$B254,$G$6:$G254,"&gt;0"))</f>
        <v/>
      </c>
      <c r="K254" s="75" t="str">
        <f>IF($J254="","",INDEX(الجزاءات!$E$6:$H$9,MATCH($G254,الجزاءات!$B$6:$B$9,1),MIN($J254,4)))</f>
        <v/>
      </c>
      <c r="L254" s="45"/>
    </row>
    <row r="255" spans="1:12" ht="15.75" customHeight="1" x14ac:dyDescent="0.35">
      <c r="A255" s="31"/>
      <c r="B255" s="30"/>
      <c r="C255" s="72" t="str">
        <f>IF($B255="","",IFERROR(INDEX(الموظفون!$C$6:$C$45,MATCH($B255,الموظفون!$B$6:$B$45,0)),""))</f>
        <v/>
      </c>
      <c r="D255" s="73" t="str">
        <f>IF($B255="","",IFERROR(INDEX(الموظفون!$M$6:$M$45,MATCH($B255,الموظفون!$B$6:$B$45,0)),""))</f>
        <v/>
      </c>
      <c r="E255" s="49"/>
      <c r="F255" s="49"/>
      <c r="G255" s="74" t="str">
        <f t="shared" si="6"/>
        <v/>
      </c>
      <c r="H255" s="75" t="str">
        <f t="shared" si="7"/>
        <v/>
      </c>
      <c r="I255" s="75" t="str">
        <f>IF($H255="","",MAX(0,ROUND($H255-الإعدادات!$C$24-الإعدادات!$C$27,2)))</f>
        <v/>
      </c>
      <c r="J255" s="76" t="str">
        <f>IF(OR($B255="",$G255="",$G255&lt;=0),"",COUNTIFS($B$6:$B255,$B255,$G$6:$G255,"&gt;0"))</f>
        <v/>
      </c>
      <c r="K255" s="75" t="str">
        <f>IF($J255="","",INDEX(الجزاءات!$E$6:$H$9,MATCH($G255,الجزاءات!$B$6:$B$9,1),MIN($J255,4)))</f>
        <v/>
      </c>
      <c r="L255" s="45"/>
    </row>
    <row r="256" spans="1:12" ht="15.75" customHeight="1" x14ac:dyDescent="0.35">
      <c r="A256" s="31"/>
      <c r="B256" s="30"/>
      <c r="C256" s="72" t="str">
        <f>IF($B256="","",IFERROR(INDEX(الموظفون!$C$6:$C$45,MATCH($B256,الموظفون!$B$6:$B$45,0)),""))</f>
        <v/>
      </c>
      <c r="D256" s="73" t="str">
        <f>IF($B256="","",IFERROR(INDEX(الموظفون!$M$6:$M$45,MATCH($B256,الموظفون!$B$6:$B$45,0)),""))</f>
        <v/>
      </c>
      <c r="E256" s="49"/>
      <c r="F256" s="49"/>
      <c r="G256" s="74" t="str">
        <f t="shared" si="6"/>
        <v/>
      </c>
      <c r="H256" s="75" t="str">
        <f t="shared" si="7"/>
        <v/>
      </c>
      <c r="I256" s="75" t="str">
        <f>IF($H256="","",MAX(0,ROUND($H256-الإعدادات!$C$24-الإعدادات!$C$27,2)))</f>
        <v/>
      </c>
      <c r="J256" s="76" t="str">
        <f>IF(OR($B256="",$G256="",$G256&lt;=0),"",COUNTIFS($B$6:$B256,$B256,$G$6:$G256,"&gt;0"))</f>
        <v/>
      </c>
      <c r="K256" s="75" t="str">
        <f>IF($J256="","",INDEX(الجزاءات!$E$6:$H$9,MATCH($G256,الجزاءات!$B$6:$B$9,1),MIN($J256,4)))</f>
        <v/>
      </c>
      <c r="L256" s="45"/>
    </row>
    <row r="257" spans="1:12" ht="15.75" customHeight="1" x14ac:dyDescent="0.35">
      <c r="A257" s="31"/>
      <c r="B257" s="30"/>
      <c r="C257" s="72" t="str">
        <f>IF($B257="","",IFERROR(INDEX(الموظفون!$C$6:$C$45,MATCH($B257,الموظفون!$B$6:$B$45,0)),""))</f>
        <v/>
      </c>
      <c r="D257" s="73" t="str">
        <f>IF($B257="","",IFERROR(INDEX(الموظفون!$M$6:$M$45,MATCH($B257,الموظفون!$B$6:$B$45,0)),""))</f>
        <v/>
      </c>
      <c r="E257" s="49"/>
      <c r="F257" s="49"/>
      <c r="G257" s="74" t="str">
        <f t="shared" si="6"/>
        <v/>
      </c>
      <c r="H257" s="75" t="str">
        <f t="shared" si="7"/>
        <v/>
      </c>
      <c r="I257" s="75" t="str">
        <f>IF($H257="","",MAX(0,ROUND($H257-الإعدادات!$C$24-الإعدادات!$C$27,2)))</f>
        <v/>
      </c>
      <c r="J257" s="76" t="str">
        <f>IF(OR($B257="",$G257="",$G257&lt;=0),"",COUNTIFS($B$6:$B257,$B257,$G$6:$G257,"&gt;0"))</f>
        <v/>
      </c>
      <c r="K257" s="75" t="str">
        <f>IF($J257="","",INDEX(الجزاءات!$E$6:$H$9,MATCH($G257,الجزاءات!$B$6:$B$9,1),MIN($J257,4)))</f>
        <v/>
      </c>
      <c r="L257" s="45"/>
    </row>
    <row r="258" spans="1:12" ht="15.75" customHeight="1" x14ac:dyDescent="0.35">
      <c r="A258" s="31"/>
      <c r="B258" s="30"/>
      <c r="C258" s="72" t="str">
        <f>IF($B258="","",IFERROR(INDEX(الموظفون!$C$6:$C$45,MATCH($B258,الموظفون!$B$6:$B$45,0)),""))</f>
        <v/>
      </c>
      <c r="D258" s="73" t="str">
        <f>IF($B258="","",IFERROR(INDEX(الموظفون!$M$6:$M$45,MATCH($B258,الموظفون!$B$6:$B$45,0)),""))</f>
        <v/>
      </c>
      <c r="E258" s="49"/>
      <c r="F258" s="49"/>
      <c r="G258" s="74" t="str">
        <f t="shared" si="6"/>
        <v/>
      </c>
      <c r="H258" s="75" t="str">
        <f t="shared" si="7"/>
        <v/>
      </c>
      <c r="I258" s="75" t="str">
        <f>IF($H258="","",MAX(0,ROUND($H258-الإعدادات!$C$24-الإعدادات!$C$27,2)))</f>
        <v/>
      </c>
      <c r="J258" s="76" t="str">
        <f>IF(OR($B258="",$G258="",$G258&lt;=0),"",COUNTIFS($B$6:$B258,$B258,$G$6:$G258,"&gt;0"))</f>
        <v/>
      </c>
      <c r="K258" s="75" t="str">
        <f>IF($J258="","",INDEX(الجزاءات!$E$6:$H$9,MATCH($G258,الجزاءات!$B$6:$B$9,1),MIN($J258,4)))</f>
        <v/>
      </c>
      <c r="L258" s="45"/>
    </row>
    <row r="259" spans="1:12" ht="15.75" customHeight="1" x14ac:dyDescent="0.35">
      <c r="A259" s="31"/>
      <c r="B259" s="30"/>
      <c r="C259" s="72" t="str">
        <f>IF($B259="","",IFERROR(INDEX(الموظفون!$C$6:$C$45,MATCH($B259,الموظفون!$B$6:$B$45,0)),""))</f>
        <v/>
      </c>
      <c r="D259" s="73" t="str">
        <f>IF($B259="","",IFERROR(INDEX(الموظفون!$M$6:$M$45,MATCH($B259,الموظفون!$B$6:$B$45,0)),""))</f>
        <v/>
      </c>
      <c r="E259" s="49"/>
      <c r="F259" s="49"/>
      <c r="G259" s="74" t="str">
        <f t="shared" si="6"/>
        <v/>
      </c>
      <c r="H259" s="75" t="str">
        <f t="shared" si="7"/>
        <v/>
      </c>
      <c r="I259" s="75" t="str">
        <f>IF($H259="","",MAX(0,ROUND($H259-الإعدادات!$C$24-الإعدادات!$C$27,2)))</f>
        <v/>
      </c>
      <c r="J259" s="76" t="str">
        <f>IF(OR($B259="",$G259="",$G259&lt;=0),"",COUNTIFS($B$6:$B259,$B259,$G$6:$G259,"&gt;0"))</f>
        <v/>
      </c>
      <c r="K259" s="75" t="str">
        <f>IF($J259="","",INDEX(الجزاءات!$E$6:$H$9,MATCH($G259,الجزاءات!$B$6:$B$9,1),MIN($J259,4)))</f>
        <v/>
      </c>
      <c r="L259" s="45"/>
    </row>
    <row r="260" spans="1:12" ht="15.75" customHeight="1" x14ac:dyDescent="0.35">
      <c r="A260" s="31"/>
      <c r="B260" s="30"/>
      <c r="C260" s="72" t="str">
        <f>IF($B260="","",IFERROR(INDEX(الموظفون!$C$6:$C$45,MATCH($B260,الموظفون!$B$6:$B$45,0)),""))</f>
        <v/>
      </c>
      <c r="D260" s="73" t="str">
        <f>IF($B260="","",IFERROR(INDEX(الموظفون!$M$6:$M$45,MATCH($B260,الموظفون!$B$6:$B$45,0)),""))</f>
        <v/>
      </c>
      <c r="E260" s="49"/>
      <c r="F260" s="49"/>
      <c r="G260" s="74" t="str">
        <f t="shared" si="6"/>
        <v/>
      </c>
      <c r="H260" s="75" t="str">
        <f t="shared" si="7"/>
        <v/>
      </c>
      <c r="I260" s="75" t="str">
        <f>IF($H260="","",MAX(0,ROUND($H260-الإعدادات!$C$24-الإعدادات!$C$27,2)))</f>
        <v/>
      </c>
      <c r="J260" s="76" t="str">
        <f>IF(OR($B260="",$G260="",$G260&lt;=0),"",COUNTIFS($B$6:$B260,$B260,$G$6:$G260,"&gt;0"))</f>
        <v/>
      </c>
      <c r="K260" s="75" t="str">
        <f>IF($J260="","",INDEX(الجزاءات!$E$6:$H$9,MATCH($G260,الجزاءات!$B$6:$B$9,1),MIN($J260,4)))</f>
        <v/>
      </c>
      <c r="L260" s="45"/>
    </row>
    <row r="261" spans="1:12" ht="15.75" customHeight="1" x14ac:dyDescent="0.35">
      <c r="A261" s="31"/>
      <c r="B261" s="30"/>
      <c r="C261" s="72" t="str">
        <f>IF($B261="","",IFERROR(INDEX(الموظفون!$C$6:$C$45,MATCH($B261,الموظفون!$B$6:$B$45,0)),""))</f>
        <v/>
      </c>
      <c r="D261" s="73" t="str">
        <f>IF($B261="","",IFERROR(INDEX(الموظفون!$M$6:$M$45,MATCH($B261,الموظفون!$B$6:$B$45,0)),""))</f>
        <v/>
      </c>
      <c r="E261" s="49"/>
      <c r="F261" s="49"/>
      <c r="G261" s="74" t="str">
        <f t="shared" si="6"/>
        <v/>
      </c>
      <c r="H261" s="75" t="str">
        <f t="shared" si="7"/>
        <v/>
      </c>
      <c r="I261" s="75" t="str">
        <f>IF($H261="","",MAX(0,ROUND($H261-الإعدادات!$C$24-الإعدادات!$C$27,2)))</f>
        <v/>
      </c>
      <c r="J261" s="76" t="str">
        <f>IF(OR($B261="",$G261="",$G261&lt;=0),"",COUNTIFS($B$6:$B261,$B261,$G$6:$G261,"&gt;0"))</f>
        <v/>
      </c>
      <c r="K261" s="75" t="str">
        <f>IF($J261="","",INDEX(الجزاءات!$E$6:$H$9,MATCH($G261,الجزاءات!$B$6:$B$9,1),MIN($J261,4)))</f>
        <v/>
      </c>
      <c r="L261" s="45"/>
    </row>
    <row r="262" spans="1:12" ht="15.75" customHeight="1" x14ac:dyDescent="0.35">
      <c r="A262" s="31"/>
      <c r="B262" s="30"/>
      <c r="C262" s="72" t="str">
        <f>IF($B262="","",IFERROR(INDEX(الموظفون!$C$6:$C$45,MATCH($B262,الموظفون!$B$6:$B$45,0)),""))</f>
        <v/>
      </c>
      <c r="D262" s="73" t="str">
        <f>IF($B262="","",IFERROR(INDEX(الموظفون!$M$6:$M$45,MATCH($B262,الموظفون!$B$6:$B$45,0)),""))</f>
        <v/>
      </c>
      <c r="E262" s="49"/>
      <c r="F262" s="49"/>
      <c r="G262" s="74" t="str">
        <f t="shared" ref="G262:G325" si="8">IF(OR($B262="",$E262="",$D262=""),"",MAX(0,ROUND(($E262-$D262)*1440,0)))</f>
        <v/>
      </c>
      <c r="H262" s="75" t="str">
        <f t="shared" ref="H262:H325" si="9">IF(OR($E262="",$F262=""),"",ROUND(($F262-$E262)*24,2))</f>
        <v/>
      </c>
      <c r="I262" s="75" t="str">
        <f>IF($H262="","",MAX(0,ROUND($H262-الإعدادات!$C$24-الإعدادات!$C$27,2)))</f>
        <v/>
      </c>
      <c r="J262" s="76" t="str">
        <f>IF(OR($B262="",$G262="",$G262&lt;=0),"",COUNTIFS($B$6:$B262,$B262,$G$6:$G262,"&gt;0"))</f>
        <v/>
      </c>
      <c r="K262" s="75" t="str">
        <f>IF($J262="","",INDEX(الجزاءات!$E$6:$H$9,MATCH($G262,الجزاءات!$B$6:$B$9,1),MIN($J262,4)))</f>
        <v/>
      </c>
      <c r="L262" s="45"/>
    </row>
    <row r="263" spans="1:12" ht="15.75" customHeight="1" x14ac:dyDescent="0.35">
      <c r="A263" s="31"/>
      <c r="B263" s="30"/>
      <c r="C263" s="72" t="str">
        <f>IF($B263="","",IFERROR(INDEX(الموظفون!$C$6:$C$45,MATCH($B263,الموظفون!$B$6:$B$45,0)),""))</f>
        <v/>
      </c>
      <c r="D263" s="73" t="str">
        <f>IF($B263="","",IFERROR(INDEX(الموظفون!$M$6:$M$45,MATCH($B263,الموظفون!$B$6:$B$45,0)),""))</f>
        <v/>
      </c>
      <c r="E263" s="49"/>
      <c r="F263" s="49"/>
      <c r="G263" s="74" t="str">
        <f t="shared" si="8"/>
        <v/>
      </c>
      <c r="H263" s="75" t="str">
        <f t="shared" si="9"/>
        <v/>
      </c>
      <c r="I263" s="75" t="str">
        <f>IF($H263="","",MAX(0,ROUND($H263-الإعدادات!$C$24-الإعدادات!$C$27,2)))</f>
        <v/>
      </c>
      <c r="J263" s="76" t="str">
        <f>IF(OR($B263="",$G263="",$G263&lt;=0),"",COUNTIFS($B$6:$B263,$B263,$G$6:$G263,"&gt;0"))</f>
        <v/>
      </c>
      <c r="K263" s="75" t="str">
        <f>IF($J263="","",INDEX(الجزاءات!$E$6:$H$9,MATCH($G263,الجزاءات!$B$6:$B$9,1),MIN($J263,4)))</f>
        <v/>
      </c>
      <c r="L263" s="45"/>
    </row>
    <row r="264" spans="1:12" ht="15.75" customHeight="1" x14ac:dyDescent="0.35">
      <c r="A264" s="31"/>
      <c r="B264" s="30"/>
      <c r="C264" s="72" t="str">
        <f>IF($B264="","",IFERROR(INDEX(الموظفون!$C$6:$C$45,MATCH($B264,الموظفون!$B$6:$B$45,0)),""))</f>
        <v/>
      </c>
      <c r="D264" s="73" t="str">
        <f>IF($B264="","",IFERROR(INDEX(الموظفون!$M$6:$M$45,MATCH($B264,الموظفون!$B$6:$B$45,0)),""))</f>
        <v/>
      </c>
      <c r="E264" s="49"/>
      <c r="F264" s="49"/>
      <c r="G264" s="74" t="str">
        <f t="shared" si="8"/>
        <v/>
      </c>
      <c r="H264" s="75" t="str">
        <f t="shared" si="9"/>
        <v/>
      </c>
      <c r="I264" s="75" t="str">
        <f>IF($H264="","",MAX(0,ROUND($H264-الإعدادات!$C$24-الإعدادات!$C$27,2)))</f>
        <v/>
      </c>
      <c r="J264" s="76" t="str">
        <f>IF(OR($B264="",$G264="",$G264&lt;=0),"",COUNTIFS($B$6:$B264,$B264,$G$6:$G264,"&gt;0"))</f>
        <v/>
      </c>
      <c r="K264" s="75" t="str">
        <f>IF($J264="","",INDEX(الجزاءات!$E$6:$H$9,MATCH($G264,الجزاءات!$B$6:$B$9,1),MIN($J264,4)))</f>
        <v/>
      </c>
      <c r="L264" s="45"/>
    </row>
    <row r="265" spans="1:12" ht="15.75" customHeight="1" x14ac:dyDescent="0.35">
      <c r="A265" s="31"/>
      <c r="B265" s="30"/>
      <c r="C265" s="72" t="str">
        <f>IF($B265="","",IFERROR(INDEX(الموظفون!$C$6:$C$45,MATCH($B265,الموظفون!$B$6:$B$45,0)),""))</f>
        <v/>
      </c>
      <c r="D265" s="73" t="str">
        <f>IF($B265="","",IFERROR(INDEX(الموظفون!$M$6:$M$45,MATCH($B265,الموظفون!$B$6:$B$45,0)),""))</f>
        <v/>
      </c>
      <c r="E265" s="49"/>
      <c r="F265" s="49"/>
      <c r="G265" s="74" t="str">
        <f t="shared" si="8"/>
        <v/>
      </c>
      <c r="H265" s="75" t="str">
        <f t="shared" si="9"/>
        <v/>
      </c>
      <c r="I265" s="75" t="str">
        <f>IF($H265="","",MAX(0,ROUND($H265-الإعدادات!$C$24-الإعدادات!$C$27,2)))</f>
        <v/>
      </c>
      <c r="J265" s="76" t="str">
        <f>IF(OR($B265="",$G265="",$G265&lt;=0),"",COUNTIFS($B$6:$B265,$B265,$G$6:$G265,"&gt;0"))</f>
        <v/>
      </c>
      <c r="K265" s="75" t="str">
        <f>IF($J265="","",INDEX(الجزاءات!$E$6:$H$9,MATCH($G265,الجزاءات!$B$6:$B$9,1),MIN($J265,4)))</f>
        <v/>
      </c>
      <c r="L265" s="45"/>
    </row>
    <row r="266" spans="1:12" ht="15.75" customHeight="1" x14ac:dyDescent="0.35">
      <c r="A266" s="31"/>
      <c r="B266" s="30"/>
      <c r="C266" s="72" t="str">
        <f>IF($B266="","",IFERROR(INDEX(الموظفون!$C$6:$C$45,MATCH($B266,الموظفون!$B$6:$B$45,0)),""))</f>
        <v/>
      </c>
      <c r="D266" s="73" t="str">
        <f>IF($B266="","",IFERROR(INDEX(الموظفون!$M$6:$M$45,MATCH($B266,الموظفون!$B$6:$B$45,0)),""))</f>
        <v/>
      </c>
      <c r="E266" s="49"/>
      <c r="F266" s="49"/>
      <c r="G266" s="74" t="str">
        <f t="shared" si="8"/>
        <v/>
      </c>
      <c r="H266" s="75" t="str">
        <f t="shared" si="9"/>
        <v/>
      </c>
      <c r="I266" s="75" t="str">
        <f>IF($H266="","",MAX(0,ROUND($H266-الإعدادات!$C$24-الإعدادات!$C$27,2)))</f>
        <v/>
      </c>
      <c r="J266" s="76" t="str">
        <f>IF(OR($B266="",$G266="",$G266&lt;=0),"",COUNTIFS($B$6:$B266,$B266,$G$6:$G266,"&gt;0"))</f>
        <v/>
      </c>
      <c r="K266" s="75" t="str">
        <f>IF($J266="","",INDEX(الجزاءات!$E$6:$H$9,MATCH($G266,الجزاءات!$B$6:$B$9,1),MIN($J266,4)))</f>
        <v/>
      </c>
      <c r="L266" s="45"/>
    </row>
    <row r="267" spans="1:12" ht="15.75" customHeight="1" x14ac:dyDescent="0.35">
      <c r="A267" s="31"/>
      <c r="B267" s="30"/>
      <c r="C267" s="72" t="str">
        <f>IF($B267="","",IFERROR(INDEX(الموظفون!$C$6:$C$45,MATCH($B267,الموظفون!$B$6:$B$45,0)),""))</f>
        <v/>
      </c>
      <c r="D267" s="73" t="str">
        <f>IF($B267="","",IFERROR(INDEX(الموظفون!$M$6:$M$45,MATCH($B267,الموظفون!$B$6:$B$45,0)),""))</f>
        <v/>
      </c>
      <c r="E267" s="49"/>
      <c r="F267" s="49"/>
      <c r="G267" s="74" t="str">
        <f t="shared" si="8"/>
        <v/>
      </c>
      <c r="H267" s="75" t="str">
        <f t="shared" si="9"/>
        <v/>
      </c>
      <c r="I267" s="75" t="str">
        <f>IF($H267="","",MAX(0,ROUND($H267-الإعدادات!$C$24-الإعدادات!$C$27,2)))</f>
        <v/>
      </c>
      <c r="J267" s="76" t="str">
        <f>IF(OR($B267="",$G267="",$G267&lt;=0),"",COUNTIFS($B$6:$B267,$B267,$G$6:$G267,"&gt;0"))</f>
        <v/>
      </c>
      <c r="K267" s="75" t="str">
        <f>IF($J267="","",INDEX(الجزاءات!$E$6:$H$9,MATCH($G267,الجزاءات!$B$6:$B$9,1),MIN($J267,4)))</f>
        <v/>
      </c>
      <c r="L267" s="45"/>
    </row>
    <row r="268" spans="1:12" ht="15.75" customHeight="1" x14ac:dyDescent="0.35">
      <c r="A268" s="31"/>
      <c r="B268" s="30"/>
      <c r="C268" s="72" t="str">
        <f>IF($B268="","",IFERROR(INDEX(الموظفون!$C$6:$C$45,MATCH($B268,الموظفون!$B$6:$B$45,0)),""))</f>
        <v/>
      </c>
      <c r="D268" s="73" t="str">
        <f>IF($B268="","",IFERROR(INDEX(الموظفون!$M$6:$M$45,MATCH($B268,الموظفون!$B$6:$B$45,0)),""))</f>
        <v/>
      </c>
      <c r="E268" s="49"/>
      <c r="F268" s="49"/>
      <c r="G268" s="74" t="str">
        <f t="shared" si="8"/>
        <v/>
      </c>
      <c r="H268" s="75" t="str">
        <f t="shared" si="9"/>
        <v/>
      </c>
      <c r="I268" s="75" t="str">
        <f>IF($H268="","",MAX(0,ROUND($H268-الإعدادات!$C$24-الإعدادات!$C$27,2)))</f>
        <v/>
      </c>
      <c r="J268" s="76" t="str">
        <f>IF(OR($B268="",$G268="",$G268&lt;=0),"",COUNTIFS($B$6:$B268,$B268,$G$6:$G268,"&gt;0"))</f>
        <v/>
      </c>
      <c r="K268" s="75" t="str">
        <f>IF($J268="","",INDEX(الجزاءات!$E$6:$H$9,MATCH($G268,الجزاءات!$B$6:$B$9,1),MIN($J268,4)))</f>
        <v/>
      </c>
      <c r="L268" s="45"/>
    </row>
    <row r="269" spans="1:12" ht="15.75" customHeight="1" x14ac:dyDescent="0.35">
      <c r="A269" s="31"/>
      <c r="B269" s="30"/>
      <c r="C269" s="72" t="str">
        <f>IF($B269="","",IFERROR(INDEX(الموظفون!$C$6:$C$45,MATCH($B269,الموظفون!$B$6:$B$45,0)),""))</f>
        <v/>
      </c>
      <c r="D269" s="73" t="str">
        <f>IF($B269="","",IFERROR(INDEX(الموظفون!$M$6:$M$45,MATCH($B269,الموظفون!$B$6:$B$45,0)),""))</f>
        <v/>
      </c>
      <c r="E269" s="49"/>
      <c r="F269" s="49"/>
      <c r="G269" s="74" t="str">
        <f t="shared" si="8"/>
        <v/>
      </c>
      <c r="H269" s="75" t="str">
        <f t="shared" si="9"/>
        <v/>
      </c>
      <c r="I269" s="75" t="str">
        <f>IF($H269="","",MAX(0,ROUND($H269-الإعدادات!$C$24-الإعدادات!$C$27,2)))</f>
        <v/>
      </c>
      <c r="J269" s="76" t="str">
        <f>IF(OR($B269="",$G269="",$G269&lt;=0),"",COUNTIFS($B$6:$B269,$B269,$G$6:$G269,"&gt;0"))</f>
        <v/>
      </c>
      <c r="K269" s="75" t="str">
        <f>IF($J269="","",INDEX(الجزاءات!$E$6:$H$9,MATCH($G269,الجزاءات!$B$6:$B$9,1),MIN($J269,4)))</f>
        <v/>
      </c>
      <c r="L269" s="45"/>
    </row>
    <row r="270" spans="1:12" ht="15.75" customHeight="1" x14ac:dyDescent="0.35">
      <c r="A270" s="31"/>
      <c r="B270" s="30"/>
      <c r="C270" s="72" t="str">
        <f>IF($B270="","",IFERROR(INDEX(الموظفون!$C$6:$C$45,MATCH($B270,الموظفون!$B$6:$B$45,0)),""))</f>
        <v/>
      </c>
      <c r="D270" s="73" t="str">
        <f>IF($B270="","",IFERROR(INDEX(الموظفون!$M$6:$M$45,MATCH($B270,الموظفون!$B$6:$B$45,0)),""))</f>
        <v/>
      </c>
      <c r="E270" s="49"/>
      <c r="F270" s="49"/>
      <c r="G270" s="74" t="str">
        <f t="shared" si="8"/>
        <v/>
      </c>
      <c r="H270" s="75" t="str">
        <f t="shared" si="9"/>
        <v/>
      </c>
      <c r="I270" s="75" t="str">
        <f>IF($H270="","",MAX(0,ROUND($H270-الإعدادات!$C$24-الإعدادات!$C$27,2)))</f>
        <v/>
      </c>
      <c r="J270" s="76" t="str">
        <f>IF(OR($B270="",$G270="",$G270&lt;=0),"",COUNTIFS($B$6:$B270,$B270,$G$6:$G270,"&gt;0"))</f>
        <v/>
      </c>
      <c r="K270" s="75" t="str">
        <f>IF($J270="","",INDEX(الجزاءات!$E$6:$H$9,MATCH($G270,الجزاءات!$B$6:$B$9,1),MIN($J270,4)))</f>
        <v/>
      </c>
      <c r="L270" s="45"/>
    </row>
    <row r="271" spans="1:12" ht="15.75" customHeight="1" x14ac:dyDescent="0.35">
      <c r="A271" s="31"/>
      <c r="B271" s="30"/>
      <c r="C271" s="72" t="str">
        <f>IF($B271="","",IFERROR(INDEX(الموظفون!$C$6:$C$45,MATCH($B271,الموظفون!$B$6:$B$45,0)),""))</f>
        <v/>
      </c>
      <c r="D271" s="73" t="str">
        <f>IF($B271="","",IFERROR(INDEX(الموظفون!$M$6:$M$45,MATCH($B271,الموظفون!$B$6:$B$45,0)),""))</f>
        <v/>
      </c>
      <c r="E271" s="49"/>
      <c r="F271" s="49"/>
      <c r="G271" s="74" t="str">
        <f t="shared" si="8"/>
        <v/>
      </c>
      <c r="H271" s="75" t="str">
        <f t="shared" si="9"/>
        <v/>
      </c>
      <c r="I271" s="75" t="str">
        <f>IF($H271="","",MAX(0,ROUND($H271-الإعدادات!$C$24-الإعدادات!$C$27,2)))</f>
        <v/>
      </c>
      <c r="J271" s="76" t="str">
        <f>IF(OR($B271="",$G271="",$G271&lt;=0),"",COUNTIFS($B$6:$B271,$B271,$G$6:$G271,"&gt;0"))</f>
        <v/>
      </c>
      <c r="K271" s="75" t="str">
        <f>IF($J271="","",INDEX(الجزاءات!$E$6:$H$9,MATCH($G271,الجزاءات!$B$6:$B$9,1),MIN($J271,4)))</f>
        <v/>
      </c>
      <c r="L271" s="45"/>
    </row>
    <row r="272" spans="1:12" ht="15.75" customHeight="1" x14ac:dyDescent="0.35">
      <c r="A272" s="31"/>
      <c r="B272" s="30"/>
      <c r="C272" s="72" t="str">
        <f>IF($B272="","",IFERROR(INDEX(الموظفون!$C$6:$C$45,MATCH($B272,الموظفون!$B$6:$B$45,0)),""))</f>
        <v/>
      </c>
      <c r="D272" s="73" t="str">
        <f>IF($B272="","",IFERROR(INDEX(الموظفون!$M$6:$M$45,MATCH($B272,الموظفون!$B$6:$B$45,0)),""))</f>
        <v/>
      </c>
      <c r="E272" s="49"/>
      <c r="F272" s="49"/>
      <c r="G272" s="74" t="str">
        <f t="shared" si="8"/>
        <v/>
      </c>
      <c r="H272" s="75" t="str">
        <f t="shared" si="9"/>
        <v/>
      </c>
      <c r="I272" s="75" t="str">
        <f>IF($H272="","",MAX(0,ROUND($H272-الإعدادات!$C$24-الإعدادات!$C$27,2)))</f>
        <v/>
      </c>
      <c r="J272" s="76" t="str">
        <f>IF(OR($B272="",$G272="",$G272&lt;=0),"",COUNTIFS($B$6:$B272,$B272,$G$6:$G272,"&gt;0"))</f>
        <v/>
      </c>
      <c r="K272" s="75" t="str">
        <f>IF($J272="","",INDEX(الجزاءات!$E$6:$H$9,MATCH($G272,الجزاءات!$B$6:$B$9,1),MIN($J272,4)))</f>
        <v/>
      </c>
      <c r="L272" s="45"/>
    </row>
    <row r="273" spans="1:12" ht="15.75" customHeight="1" x14ac:dyDescent="0.35">
      <c r="A273" s="31"/>
      <c r="B273" s="30"/>
      <c r="C273" s="72" t="str">
        <f>IF($B273="","",IFERROR(INDEX(الموظفون!$C$6:$C$45,MATCH($B273,الموظفون!$B$6:$B$45,0)),""))</f>
        <v/>
      </c>
      <c r="D273" s="73" t="str">
        <f>IF($B273="","",IFERROR(INDEX(الموظفون!$M$6:$M$45,MATCH($B273,الموظفون!$B$6:$B$45,0)),""))</f>
        <v/>
      </c>
      <c r="E273" s="49"/>
      <c r="F273" s="49"/>
      <c r="G273" s="74" t="str">
        <f t="shared" si="8"/>
        <v/>
      </c>
      <c r="H273" s="75" t="str">
        <f t="shared" si="9"/>
        <v/>
      </c>
      <c r="I273" s="75" t="str">
        <f>IF($H273="","",MAX(0,ROUND($H273-الإعدادات!$C$24-الإعدادات!$C$27,2)))</f>
        <v/>
      </c>
      <c r="J273" s="76" t="str">
        <f>IF(OR($B273="",$G273="",$G273&lt;=0),"",COUNTIFS($B$6:$B273,$B273,$G$6:$G273,"&gt;0"))</f>
        <v/>
      </c>
      <c r="K273" s="75" t="str">
        <f>IF($J273="","",INDEX(الجزاءات!$E$6:$H$9,MATCH($G273,الجزاءات!$B$6:$B$9,1),MIN($J273,4)))</f>
        <v/>
      </c>
      <c r="L273" s="45"/>
    </row>
    <row r="274" spans="1:12" ht="15.75" customHeight="1" x14ac:dyDescent="0.35">
      <c r="A274" s="31"/>
      <c r="B274" s="30"/>
      <c r="C274" s="72" t="str">
        <f>IF($B274="","",IFERROR(INDEX(الموظفون!$C$6:$C$45,MATCH($B274,الموظفون!$B$6:$B$45,0)),""))</f>
        <v/>
      </c>
      <c r="D274" s="73" t="str">
        <f>IF($B274="","",IFERROR(INDEX(الموظفون!$M$6:$M$45,MATCH($B274,الموظفون!$B$6:$B$45,0)),""))</f>
        <v/>
      </c>
      <c r="E274" s="49"/>
      <c r="F274" s="49"/>
      <c r="G274" s="74" t="str">
        <f t="shared" si="8"/>
        <v/>
      </c>
      <c r="H274" s="75" t="str">
        <f t="shared" si="9"/>
        <v/>
      </c>
      <c r="I274" s="75" t="str">
        <f>IF($H274="","",MAX(0,ROUND($H274-الإعدادات!$C$24-الإعدادات!$C$27,2)))</f>
        <v/>
      </c>
      <c r="J274" s="76" t="str">
        <f>IF(OR($B274="",$G274="",$G274&lt;=0),"",COUNTIFS($B$6:$B274,$B274,$G$6:$G274,"&gt;0"))</f>
        <v/>
      </c>
      <c r="K274" s="75" t="str">
        <f>IF($J274="","",INDEX(الجزاءات!$E$6:$H$9,MATCH($G274,الجزاءات!$B$6:$B$9,1),MIN($J274,4)))</f>
        <v/>
      </c>
      <c r="L274" s="45"/>
    </row>
    <row r="275" spans="1:12" ht="15.75" customHeight="1" x14ac:dyDescent="0.35">
      <c r="A275" s="31"/>
      <c r="B275" s="30"/>
      <c r="C275" s="72" t="str">
        <f>IF($B275="","",IFERROR(INDEX(الموظفون!$C$6:$C$45,MATCH($B275,الموظفون!$B$6:$B$45,0)),""))</f>
        <v/>
      </c>
      <c r="D275" s="73" t="str">
        <f>IF($B275="","",IFERROR(INDEX(الموظفون!$M$6:$M$45,MATCH($B275,الموظفون!$B$6:$B$45,0)),""))</f>
        <v/>
      </c>
      <c r="E275" s="49"/>
      <c r="F275" s="49"/>
      <c r="G275" s="74" t="str">
        <f t="shared" si="8"/>
        <v/>
      </c>
      <c r="H275" s="75" t="str">
        <f t="shared" si="9"/>
        <v/>
      </c>
      <c r="I275" s="75" t="str">
        <f>IF($H275="","",MAX(0,ROUND($H275-الإعدادات!$C$24-الإعدادات!$C$27,2)))</f>
        <v/>
      </c>
      <c r="J275" s="76" t="str">
        <f>IF(OR($B275="",$G275="",$G275&lt;=0),"",COUNTIFS($B$6:$B275,$B275,$G$6:$G275,"&gt;0"))</f>
        <v/>
      </c>
      <c r="K275" s="75" t="str">
        <f>IF($J275="","",INDEX(الجزاءات!$E$6:$H$9,MATCH($G275,الجزاءات!$B$6:$B$9,1),MIN($J275,4)))</f>
        <v/>
      </c>
      <c r="L275" s="45"/>
    </row>
    <row r="276" spans="1:12" ht="15.75" customHeight="1" x14ac:dyDescent="0.35">
      <c r="A276" s="31"/>
      <c r="B276" s="30"/>
      <c r="C276" s="72" t="str">
        <f>IF($B276="","",IFERROR(INDEX(الموظفون!$C$6:$C$45,MATCH($B276,الموظفون!$B$6:$B$45,0)),""))</f>
        <v/>
      </c>
      <c r="D276" s="73" t="str">
        <f>IF($B276="","",IFERROR(INDEX(الموظفون!$M$6:$M$45,MATCH($B276,الموظفون!$B$6:$B$45,0)),""))</f>
        <v/>
      </c>
      <c r="E276" s="49"/>
      <c r="F276" s="49"/>
      <c r="G276" s="74" t="str">
        <f t="shared" si="8"/>
        <v/>
      </c>
      <c r="H276" s="75" t="str">
        <f t="shared" si="9"/>
        <v/>
      </c>
      <c r="I276" s="75" t="str">
        <f>IF($H276="","",MAX(0,ROUND($H276-الإعدادات!$C$24-الإعدادات!$C$27,2)))</f>
        <v/>
      </c>
      <c r="J276" s="76" t="str">
        <f>IF(OR($B276="",$G276="",$G276&lt;=0),"",COUNTIFS($B$6:$B276,$B276,$G$6:$G276,"&gt;0"))</f>
        <v/>
      </c>
      <c r="K276" s="75" t="str">
        <f>IF($J276="","",INDEX(الجزاءات!$E$6:$H$9,MATCH($G276,الجزاءات!$B$6:$B$9,1),MIN($J276,4)))</f>
        <v/>
      </c>
      <c r="L276" s="45"/>
    </row>
    <row r="277" spans="1:12" ht="15.75" customHeight="1" x14ac:dyDescent="0.35">
      <c r="A277" s="31"/>
      <c r="B277" s="30"/>
      <c r="C277" s="72" t="str">
        <f>IF($B277="","",IFERROR(INDEX(الموظفون!$C$6:$C$45,MATCH($B277,الموظفون!$B$6:$B$45,0)),""))</f>
        <v/>
      </c>
      <c r="D277" s="73" t="str">
        <f>IF($B277="","",IFERROR(INDEX(الموظفون!$M$6:$M$45,MATCH($B277,الموظفون!$B$6:$B$45,0)),""))</f>
        <v/>
      </c>
      <c r="E277" s="49"/>
      <c r="F277" s="49"/>
      <c r="G277" s="74" t="str">
        <f t="shared" si="8"/>
        <v/>
      </c>
      <c r="H277" s="75" t="str">
        <f t="shared" si="9"/>
        <v/>
      </c>
      <c r="I277" s="75" t="str">
        <f>IF($H277="","",MAX(0,ROUND($H277-الإعدادات!$C$24-الإعدادات!$C$27,2)))</f>
        <v/>
      </c>
      <c r="J277" s="76" t="str">
        <f>IF(OR($B277="",$G277="",$G277&lt;=0),"",COUNTIFS($B$6:$B277,$B277,$G$6:$G277,"&gt;0"))</f>
        <v/>
      </c>
      <c r="K277" s="75" t="str">
        <f>IF($J277="","",INDEX(الجزاءات!$E$6:$H$9,MATCH($G277,الجزاءات!$B$6:$B$9,1),MIN($J277,4)))</f>
        <v/>
      </c>
      <c r="L277" s="45"/>
    </row>
    <row r="278" spans="1:12" ht="15.75" customHeight="1" x14ac:dyDescent="0.35">
      <c r="A278" s="31"/>
      <c r="B278" s="30"/>
      <c r="C278" s="72" t="str">
        <f>IF($B278="","",IFERROR(INDEX(الموظفون!$C$6:$C$45,MATCH($B278,الموظفون!$B$6:$B$45,0)),""))</f>
        <v/>
      </c>
      <c r="D278" s="73" t="str">
        <f>IF($B278="","",IFERROR(INDEX(الموظفون!$M$6:$M$45,MATCH($B278,الموظفون!$B$6:$B$45,0)),""))</f>
        <v/>
      </c>
      <c r="E278" s="49"/>
      <c r="F278" s="49"/>
      <c r="G278" s="74" t="str">
        <f t="shared" si="8"/>
        <v/>
      </c>
      <c r="H278" s="75" t="str">
        <f t="shared" si="9"/>
        <v/>
      </c>
      <c r="I278" s="75" t="str">
        <f>IF($H278="","",MAX(0,ROUND($H278-الإعدادات!$C$24-الإعدادات!$C$27,2)))</f>
        <v/>
      </c>
      <c r="J278" s="76" t="str">
        <f>IF(OR($B278="",$G278="",$G278&lt;=0),"",COUNTIFS($B$6:$B278,$B278,$G$6:$G278,"&gt;0"))</f>
        <v/>
      </c>
      <c r="K278" s="75" t="str">
        <f>IF($J278="","",INDEX(الجزاءات!$E$6:$H$9,MATCH($G278,الجزاءات!$B$6:$B$9,1),MIN($J278,4)))</f>
        <v/>
      </c>
      <c r="L278" s="45"/>
    </row>
    <row r="279" spans="1:12" ht="15.75" customHeight="1" x14ac:dyDescent="0.35">
      <c r="A279" s="31"/>
      <c r="B279" s="30"/>
      <c r="C279" s="72" t="str">
        <f>IF($B279="","",IFERROR(INDEX(الموظفون!$C$6:$C$45,MATCH($B279,الموظفون!$B$6:$B$45,0)),""))</f>
        <v/>
      </c>
      <c r="D279" s="73" t="str">
        <f>IF($B279="","",IFERROR(INDEX(الموظفون!$M$6:$M$45,MATCH($B279,الموظفون!$B$6:$B$45,0)),""))</f>
        <v/>
      </c>
      <c r="E279" s="49"/>
      <c r="F279" s="49"/>
      <c r="G279" s="74" t="str">
        <f t="shared" si="8"/>
        <v/>
      </c>
      <c r="H279" s="75" t="str">
        <f t="shared" si="9"/>
        <v/>
      </c>
      <c r="I279" s="75" t="str">
        <f>IF($H279="","",MAX(0,ROUND($H279-الإعدادات!$C$24-الإعدادات!$C$27,2)))</f>
        <v/>
      </c>
      <c r="J279" s="76" t="str">
        <f>IF(OR($B279="",$G279="",$G279&lt;=0),"",COUNTIFS($B$6:$B279,$B279,$G$6:$G279,"&gt;0"))</f>
        <v/>
      </c>
      <c r="K279" s="75" t="str">
        <f>IF($J279="","",INDEX(الجزاءات!$E$6:$H$9,MATCH($G279,الجزاءات!$B$6:$B$9,1),MIN($J279,4)))</f>
        <v/>
      </c>
      <c r="L279" s="45"/>
    </row>
    <row r="280" spans="1:12" ht="15.75" customHeight="1" x14ac:dyDescent="0.35">
      <c r="A280" s="31"/>
      <c r="B280" s="30"/>
      <c r="C280" s="72" t="str">
        <f>IF($B280="","",IFERROR(INDEX(الموظفون!$C$6:$C$45,MATCH($B280,الموظفون!$B$6:$B$45,0)),""))</f>
        <v/>
      </c>
      <c r="D280" s="73" t="str">
        <f>IF($B280="","",IFERROR(INDEX(الموظفون!$M$6:$M$45,MATCH($B280,الموظفون!$B$6:$B$45,0)),""))</f>
        <v/>
      </c>
      <c r="E280" s="49"/>
      <c r="F280" s="49"/>
      <c r="G280" s="74" t="str">
        <f t="shared" si="8"/>
        <v/>
      </c>
      <c r="H280" s="75" t="str">
        <f t="shared" si="9"/>
        <v/>
      </c>
      <c r="I280" s="75" t="str">
        <f>IF($H280="","",MAX(0,ROUND($H280-الإعدادات!$C$24-الإعدادات!$C$27,2)))</f>
        <v/>
      </c>
      <c r="J280" s="76" t="str">
        <f>IF(OR($B280="",$G280="",$G280&lt;=0),"",COUNTIFS($B$6:$B280,$B280,$G$6:$G280,"&gt;0"))</f>
        <v/>
      </c>
      <c r="K280" s="75" t="str">
        <f>IF($J280="","",INDEX(الجزاءات!$E$6:$H$9,MATCH($G280,الجزاءات!$B$6:$B$9,1),MIN($J280,4)))</f>
        <v/>
      </c>
      <c r="L280" s="45"/>
    </row>
    <row r="281" spans="1:12" ht="15.75" customHeight="1" x14ac:dyDescent="0.35">
      <c r="A281" s="31"/>
      <c r="B281" s="30"/>
      <c r="C281" s="72" t="str">
        <f>IF($B281="","",IFERROR(INDEX(الموظفون!$C$6:$C$45,MATCH($B281,الموظفون!$B$6:$B$45,0)),""))</f>
        <v/>
      </c>
      <c r="D281" s="73" t="str">
        <f>IF($B281="","",IFERROR(INDEX(الموظفون!$M$6:$M$45,MATCH($B281,الموظفون!$B$6:$B$45,0)),""))</f>
        <v/>
      </c>
      <c r="E281" s="49"/>
      <c r="F281" s="49"/>
      <c r="G281" s="74" t="str">
        <f t="shared" si="8"/>
        <v/>
      </c>
      <c r="H281" s="75" t="str">
        <f t="shared" si="9"/>
        <v/>
      </c>
      <c r="I281" s="75" t="str">
        <f>IF($H281="","",MAX(0,ROUND($H281-الإعدادات!$C$24-الإعدادات!$C$27,2)))</f>
        <v/>
      </c>
      <c r="J281" s="76" t="str">
        <f>IF(OR($B281="",$G281="",$G281&lt;=0),"",COUNTIFS($B$6:$B281,$B281,$G$6:$G281,"&gt;0"))</f>
        <v/>
      </c>
      <c r="K281" s="75" t="str">
        <f>IF($J281="","",INDEX(الجزاءات!$E$6:$H$9,MATCH($G281,الجزاءات!$B$6:$B$9,1),MIN($J281,4)))</f>
        <v/>
      </c>
      <c r="L281" s="45"/>
    </row>
    <row r="282" spans="1:12" ht="15.75" customHeight="1" x14ac:dyDescent="0.35">
      <c r="A282" s="31"/>
      <c r="B282" s="30"/>
      <c r="C282" s="72" t="str">
        <f>IF($B282="","",IFERROR(INDEX(الموظفون!$C$6:$C$45,MATCH($B282,الموظفون!$B$6:$B$45,0)),""))</f>
        <v/>
      </c>
      <c r="D282" s="73" t="str">
        <f>IF($B282="","",IFERROR(INDEX(الموظفون!$M$6:$M$45,MATCH($B282,الموظفون!$B$6:$B$45,0)),""))</f>
        <v/>
      </c>
      <c r="E282" s="49"/>
      <c r="F282" s="49"/>
      <c r="G282" s="74" t="str">
        <f t="shared" si="8"/>
        <v/>
      </c>
      <c r="H282" s="75" t="str">
        <f t="shared" si="9"/>
        <v/>
      </c>
      <c r="I282" s="75" t="str">
        <f>IF($H282="","",MAX(0,ROUND($H282-الإعدادات!$C$24-الإعدادات!$C$27,2)))</f>
        <v/>
      </c>
      <c r="J282" s="76" t="str">
        <f>IF(OR($B282="",$G282="",$G282&lt;=0),"",COUNTIFS($B$6:$B282,$B282,$G$6:$G282,"&gt;0"))</f>
        <v/>
      </c>
      <c r="K282" s="75" t="str">
        <f>IF($J282="","",INDEX(الجزاءات!$E$6:$H$9,MATCH($G282,الجزاءات!$B$6:$B$9,1),MIN($J282,4)))</f>
        <v/>
      </c>
      <c r="L282" s="45"/>
    </row>
    <row r="283" spans="1:12" ht="15.75" customHeight="1" x14ac:dyDescent="0.35">
      <c r="A283" s="31"/>
      <c r="B283" s="30"/>
      <c r="C283" s="72" t="str">
        <f>IF($B283="","",IFERROR(INDEX(الموظفون!$C$6:$C$45,MATCH($B283,الموظفون!$B$6:$B$45,0)),""))</f>
        <v/>
      </c>
      <c r="D283" s="73" t="str">
        <f>IF($B283="","",IFERROR(INDEX(الموظفون!$M$6:$M$45,MATCH($B283,الموظفون!$B$6:$B$45,0)),""))</f>
        <v/>
      </c>
      <c r="E283" s="49"/>
      <c r="F283" s="49"/>
      <c r="G283" s="74" t="str">
        <f t="shared" si="8"/>
        <v/>
      </c>
      <c r="H283" s="75" t="str">
        <f t="shared" si="9"/>
        <v/>
      </c>
      <c r="I283" s="75" t="str">
        <f>IF($H283="","",MAX(0,ROUND($H283-الإعدادات!$C$24-الإعدادات!$C$27,2)))</f>
        <v/>
      </c>
      <c r="J283" s="76" t="str">
        <f>IF(OR($B283="",$G283="",$G283&lt;=0),"",COUNTIFS($B$6:$B283,$B283,$G$6:$G283,"&gt;0"))</f>
        <v/>
      </c>
      <c r="K283" s="75" t="str">
        <f>IF($J283="","",INDEX(الجزاءات!$E$6:$H$9,MATCH($G283,الجزاءات!$B$6:$B$9,1),MIN($J283,4)))</f>
        <v/>
      </c>
      <c r="L283" s="45"/>
    </row>
    <row r="284" spans="1:12" ht="15.75" customHeight="1" x14ac:dyDescent="0.35">
      <c r="A284" s="31"/>
      <c r="B284" s="30"/>
      <c r="C284" s="72" t="str">
        <f>IF($B284="","",IFERROR(INDEX(الموظفون!$C$6:$C$45,MATCH($B284,الموظفون!$B$6:$B$45,0)),""))</f>
        <v/>
      </c>
      <c r="D284" s="73" t="str">
        <f>IF($B284="","",IFERROR(INDEX(الموظفون!$M$6:$M$45,MATCH($B284,الموظفون!$B$6:$B$45,0)),""))</f>
        <v/>
      </c>
      <c r="E284" s="49"/>
      <c r="F284" s="49"/>
      <c r="G284" s="74" t="str">
        <f t="shared" si="8"/>
        <v/>
      </c>
      <c r="H284" s="75" t="str">
        <f t="shared" si="9"/>
        <v/>
      </c>
      <c r="I284" s="75" t="str">
        <f>IF($H284="","",MAX(0,ROUND($H284-الإعدادات!$C$24-الإعدادات!$C$27,2)))</f>
        <v/>
      </c>
      <c r="J284" s="76" t="str">
        <f>IF(OR($B284="",$G284="",$G284&lt;=0),"",COUNTIFS($B$6:$B284,$B284,$G$6:$G284,"&gt;0"))</f>
        <v/>
      </c>
      <c r="K284" s="75" t="str">
        <f>IF($J284="","",INDEX(الجزاءات!$E$6:$H$9,MATCH($G284,الجزاءات!$B$6:$B$9,1),MIN($J284,4)))</f>
        <v/>
      </c>
      <c r="L284" s="45"/>
    </row>
    <row r="285" spans="1:12" ht="15.75" customHeight="1" x14ac:dyDescent="0.35">
      <c r="A285" s="31"/>
      <c r="B285" s="30"/>
      <c r="C285" s="72" t="str">
        <f>IF($B285="","",IFERROR(INDEX(الموظفون!$C$6:$C$45,MATCH($B285,الموظفون!$B$6:$B$45,0)),""))</f>
        <v/>
      </c>
      <c r="D285" s="73" t="str">
        <f>IF($B285="","",IFERROR(INDEX(الموظفون!$M$6:$M$45,MATCH($B285,الموظفون!$B$6:$B$45,0)),""))</f>
        <v/>
      </c>
      <c r="E285" s="49"/>
      <c r="F285" s="49"/>
      <c r="G285" s="74" t="str">
        <f t="shared" si="8"/>
        <v/>
      </c>
      <c r="H285" s="75" t="str">
        <f t="shared" si="9"/>
        <v/>
      </c>
      <c r="I285" s="75" t="str">
        <f>IF($H285="","",MAX(0,ROUND($H285-الإعدادات!$C$24-الإعدادات!$C$27,2)))</f>
        <v/>
      </c>
      <c r="J285" s="76" t="str">
        <f>IF(OR($B285="",$G285="",$G285&lt;=0),"",COUNTIFS($B$6:$B285,$B285,$G$6:$G285,"&gt;0"))</f>
        <v/>
      </c>
      <c r="K285" s="75" t="str">
        <f>IF($J285="","",INDEX(الجزاءات!$E$6:$H$9,MATCH($G285,الجزاءات!$B$6:$B$9,1),MIN($J285,4)))</f>
        <v/>
      </c>
      <c r="L285" s="45"/>
    </row>
    <row r="286" spans="1:12" ht="15.75" customHeight="1" x14ac:dyDescent="0.35">
      <c r="A286" s="31"/>
      <c r="B286" s="30"/>
      <c r="C286" s="72" t="str">
        <f>IF($B286="","",IFERROR(INDEX(الموظفون!$C$6:$C$45,MATCH($B286,الموظفون!$B$6:$B$45,0)),""))</f>
        <v/>
      </c>
      <c r="D286" s="73" t="str">
        <f>IF($B286="","",IFERROR(INDEX(الموظفون!$M$6:$M$45,MATCH($B286,الموظفون!$B$6:$B$45,0)),""))</f>
        <v/>
      </c>
      <c r="E286" s="49"/>
      <c r="F286" s="49"/>
      <c r="G286" s="74" t="str">
        <f t="shared" si="8"/>
        <v/>
      </c>
      <c r="H286" s="75" t="str">
        <f t="shared" si="9"/>
        <v/>
      </c>
      <c r="I286" s="75" t="str">
        <f>IF($H286="","",MAX(0,ROUND($H286-الإعدادات!$C$24-الإعدادات!$C$27,2)))</f>
        <v/>
      </c>
      <c r="J286" s="76" t="str">
        <f>IF(OR($B286="",$G286="",$G286&lt;=0),"",COUNTIFS($B$6:$B286,$B286,$G$6:$G286,"&gt;0"))</f>
        <v/>
      </c>
      <c r="K286" s="75" t="str">
        <f>IF($J286="","",INDEX(الجزاءات!$E$6:$H$9,MATCH($G286,الجزاءات!$B$6:$B$9,1),MIN($J286,4)))</f>
        <v/>
      </c>
      <c r="L286" s="45"/>
    </row>
    <row r="287" spans="1:12" ht="15.75" customHeight="1" x14ac:dyDescent="0.35">
      <c r="A287" s="31"/>
      <c r="B287" s="30"/>
      <c r="C287" s="72" t="str">
        <f>IF($B287="","",IFERROR(INDEX(الموظفون!$C$6:$C$45,MATCH($B287,الموظفون!$B$6:$B$45,0)),""))</f>
        <v/>
      </c>
      <c r="D287" s="73" t="str">
        <f>IF($B287="","",IFERROR(INDEX(الموظفون!$M$6:$M$45,MATCH($B287,الموظفون!$B$6:$B$45,0)),""))</f>
        <v/>
      </c>
      <c r="E287" s="49"/>
      <c r="F287" s="49"/>
      <c r="G287" s="74" t="str">
        <f t="shared" si="8"/>
        <v/>
      </c>
      <c r="H287" s="75" t="str">
        <f t="shared" si="9"/>
        <v/>
      </c>
      <c r="I287" s="75" t="str">
        <f>IF($H287="","",MAX(0,ROUND($H287-الإعدادات!$C$24-الإعدادات!$C$27,2)))</f>
        <v/>
      </c>
      <c r="J287" s="76" t="str">
        <f>IF(OR($B287="",$G287="",$G287&lt;=0),"",COUNTIFS($B$6:$B287,$B287,$G$6:$G287,"&gt;0"))</f>
        <v/>
      </c>
      <c r="K287" s="75" t="str">
        <f>IF($J287="","",INDEX(الجزاءات!$E$6:$H$9,MATCH($G287,الجزاءات!$B$6:$B$9,1),MIN($J287,4)))</f>
        <v/>
      </c>
      <c r="L287" s="45"/>
    </row>
    <row r="288" spans="1:12" ht="15.75" customHeight="1" x14ac:dyDescent="0.35">
      <c r="A288" s="31"/>
      <c r="B288" s="30"/>
      <c r="C288" s="72" t="str">
        <f>IF($B288="","",IFERROR(INDEX(الموظفون!$C$6:$C$45,MATCH($B288,الموظفون!$B$6:$B$45,0)),""))</f>
        <v/>
      </c>
      <c r="D288" s="73" t="str">
        <f>IF($B288="","",IFERROR(INDEX(الموظفون!$M$6:$M$45,MATCH($B288,الموظفون!$B$6:$B$45,0)),""))</f>
        <v/>
      </c>
      <c r="E288" s="49"/>
      <c r="F288" s="49"/>
      <c r="G288" s="74" t="str">
        <f t="shared" si="8"/>
        <v/>
      </c>
      <c r="H288" s="75" t="str">
        <f t="shared" si="9"/>
        <v/>
      </c>
      <c r="I288" s="75" t="str">
        <f>IF($H288="","",MAX(0,ROUND($H288-الإعدادات!$C$24-الإعدادات!$C$27,2)))</f>
        <v/>
      </c>
      <c r="J288" s="76" t="str">
        <f>IF(OR($B288="",$G288="",$G288&lt;=0),"",COUNTIFS($B$6:$B288,$B288,$G$6:$G288,"&gt;0"))</f>
        <v/>
      </c>
      <c r="K288" s="75" t="str">
        <f>IF($J288="","",INDEX(الجزاءات!$E$6:$H$9,MATCH($G288,الجزاءات!$B$6:$B$9,1),MIN($J288,4)))</f>
        <v/>
      </c>
      <c r="L288" s="45"/>
    </row>
    <row r="289" spans="1:12" ht="15.75" customHeight="1" x14ac:dyDescent="0.35">
      <c r="A289" s="31"/>
      <c r="B289" s="30"/>
      <c r="C289" s="72" t="str">
        <f>IF($B289="","",IFERROR(INDEX(الموظفون!$C$6:$C$45,MATCH($B289,الموظفون!$B$6:$B$45,0)),""))</f>
        <v/>
      </c>
      <c r="D289" s="73" t="str">
        <f>IF($B289="","",IFERROR(INDEX(الموظفون!$M$6:$M$45,MATCH($B289,الموظفون!$B$6:$B$45,0)),""))</f>
        <v/>
      </c>
      <c r="E289" s="49"/>
      <c r="F289" s="49"/>
      <c r="G289" s="74" t="str">
        <f t="shared" si="8"/>
        <v/>
      </c>
      <c r="H289" s="75" t="str">
        <f t="shared" si="9"/>
        <v/>
      </c>
      <c r="I289" s="75" t="str">
        <f>IF($H289="","",MAX(0,ROUND($H289-الإعدادات!$C$24-الإعدادات!$C$27,2)))</f>
        <v/>
      </c>
      <c r="J289" s="76" t="str">
        <f>IF(OR($B289="",$G289="",$G289&lt;=0),"",COUNTIFS($B$6:$B289,$B289,$G$6:$G289,"&gt;0"))</f>
        <v/>
      </c>
      <c r="K289" s="75" t="str">
        <f>IF($J289="","",INDEX(الجزاءات!$E$6:$H$9,MATCH($G289,الجزاءات!$B$6:$B$9,1),MIN($J289,4)))</f>
        <v/>
      </c>
      <c r="L289" s="45"/>
    </row>
    <row r="290" spans="1:12" ht="15.75" customHeight="1" x14ac:dyDescent="0.35">
      <c r="A290" s="31"/>
      <c r="B290" s="30"/>
      <c r="C290" s="72" t="str">
        <f>IF($B290="","",IFERROR(INDEX(الموظفون!$C$6:$C$45,MATCH($B290,الموظفون!$B$6:$B$45,0)),""))</f>
        <v/>
      </c>
      <c r="D290" s="73" t="str">
        <f>IF($B290="","",IFERROR(INDEX(الموظفون!$M$6:$M$45,MATCH($B290,الموظفون!$B$6:$B$45,0)),""))</f>
        <v/>
      </c>
      <c r="E290" s="49"/>
      <c r="F290" s="49"/>
      <c r="G290" s="74" t="str">
        <f t="shared" si="8"/>
        <v/>
      </c>
      <c r="H290" s="75" t="str">
        <f t="shared" si="9"/>
        <v/>
      </c>
      <c r="I290" s="75" t="str">
        <f>IF($H290="","",MAX(0,ROUND($H290-الإعدادات!$C$24-الإعدادات!$C$27,2)))</f>
        <v/>
      </c>
      <c r="J290" s="76" t="str">
        <f>IF(OR($B290="",$G290="",$G290&lt;=0),"",COUNTIFS($B$6:$B290,$B290,$G$6:$G290,"&gt;0"))</f>
        <v/>
      </c>
      <c r="K290" s="75" t="str">
        <f>IF($J290="","",INDEX(الجزاءات!$E$6:$H$9,MATCH($G290,الجزاءات!$B$6:$B$9,1),MIN($J290,4)))</f>
        <v/>
      </c>
      <c r="L290" s="45"/>
    </row>
    <row r="291" spans="1:12" ht="15.75" customHeight="1" x14ac:dyDescent="0.35">
      <c r="A291" s="31"/>
      <c r="B291" s="30"/>
      <c r="C291" s="72" t="str">
        <f>IF($B291="","",IFERROR(INDEX(الموظفون!$C$6:$C$45,MATCH($B291,الموظفون!$B$6:$B$45,0)),""))</f>
        <v/>
      </c>
      <c r="D291" s="73" t="str">
        <f>IF($B291="","",IFERROR(INDEX(الموظفون!$M$6:$M$45,MATCH($B291,الموظفون!$B$6:$B$45,0)),""))</f>
        <v/>
      </c>
      <c r="E291" s="49"/>
      <c r="F291" s="49"/>
      <c r="G291" s="74" t="str">
        <f t="shared" si="8"/>
        <v/>
      </c>
      <c r="H291" s="75" t="str">
        <f t="shared" si="9"/>
        <v/>
      </c>
      <c r="I291" s="75" t="str">
        <f>IF($H291="","",MAX(0,ROUND($H291-الإعدادات!$C$24-الإعدادات!$C$27,2)))</f>
        <v/>
      </c>
      <c r="J291" s="76" t="str">
        <f>IF(OR($B291="",$G291="",$G291&lt;=0),"",COUNTIFS($B$6:$B291,$B291,$G$6:$G291,"&gt;0"))</f>
        <v/>
      </c>
      <c r="K291" s="75" t="str">
        <f>IF($J291="","",INDEX(الجزاءات!$E$6:$H$9,MATCH($G291,الجزاءات!$B$6:$B$9,1),MIN($J291,4)))</f>
        <v/>
      </c>
      <c r="L291" s="45"/>
    </row>
    <row r="292" spans="1:12" ht="15.75" customHeight="1" x14ac:dyDescent="0.35">
      <c r="A292" s="31"/>
      <c r="B292" s="30"/>
      <c r="C292" s="72" t="str">
        <f>IF($B292="","",IFERROR(INDEX(الموظفون!$C$6:$C$45,MATCH($B292,الموظفون!$B$6:$B$45,0)),""))</f>
        <v/>
      </c>
      <c r="D292" s="73" t="str">
        <f>IF($B292="","",IFERROR(INDEX(الموظفون!$M$6:$M$45,MATCH($B292,الموظفون!$B$6:$B$45,0)),""))</f>
        <v/>
      </c>
      <c r="E292" s="49"/>
      <c r="F292" s="49"/>
      <c r="G292" s="74" t="str">
        <f t="shared" si="8"/>
        <v/>
      </c>
      <c r="H292" s="75" t="str">
        <f t="shared" si="9"/>
        <v/>
      </c>
      <c r="I292" s="75" t="str">
        <f>IF($H292="","",MAX(0,ROUND($H292-الإعدادات!$C$24-الإعدادات!$C$27,2)))</f>
        <v/>
      </c>
      <c r="J292" s="76" t="str">
        <f>IF(OR($B292="",$G292="",$G292&lt;=0),"",COUNTIFS($B$6:$B292,$B292,$G$6:$G292,"&gt;0"))</f>
        <v/>
      </c>
      <c r="K292" s="75" t="str">
        <f>IF($J292="","",INDEX(الجزاءات!$E$6:$H$9,MATCH($G292,الجزاءات!$B$6:$B$9,1),MIN($J292,4)))</f>
        <v/>
      </c>
      <c r="L292" s="45"/>
    </row>
    <row r="293" spans="1:12" ht="15.75" customHeight="1" x14ac:dyDescent="0.35">
      <c r="A293" s="31"/>
      <c r="B293" s="30"/>
      <c r="C293" s="72" t="str">
        <f>IF($B293="","",IFERROR(INDEX(الموظفون!$C$6:$C$45,MATCH($B293,الموظفون!$B$6:$B$45,0)),""))</f>
        <v/>
      </c>
      <c r="D293" s="73" t="str">
        <f>IF($B293="","",IFERROR(INDEX(الموظفون!$M$6:$M$45,MATCH($B293,الموظفون!$B$6:$B$45,0)),""))</f>
        <v/>
      </c>
      <c r="E293" s="49"/>
      <c r="F293" s="49"/>
      <c r="G293" s="74" t="str">
        <f t="shared" si="8"/>
        <v/>
      </c>
      <c r="H293" s="75" t="str">
        <f t="shared" si="9"/>
        <v/>
      </c>
      <c r="I293" s="75" t="str">
        <f>IF($H293="","",MAX(0,ROUND($H293-الإعدادات!$C$24-الإعدادات!$C$27,2)))</f>
        <v/>
      </c>
      <c r="J293" s="76" t="str">
        <f>IF(OR($B293="",$G293="",$G293&lt;=0),"",COUNTIFS($B$6:$B293,$B293,$G$6:$G293,"&gt;0"))</f>
        <v/>
      </c>
      <c r="K293" s="75" t="str">
        <f>IF($J293="","",INDEX(الجزاءات!$E$6:$H$9,MATCH($G293,الجزاءات!$B$6:$B$9,1),MIN($J293,4)))</f>
        <v/>
      </c>
      <c r="L293" s="45"/>
    </row>
    <row r="294" spans="1:12" ht="15.75" customHeight="1" x14ac:dyDescent="0.35">
      <c r="A294" s="31"/>
      <c r="B294" s="30"/>
      <c r="C294" s="72" t="str">
        <f>IF($B294="","",IFERROR(INDEX(الموظفون!$C$6:$C$45,MATCH($B294,الموظفون!$B$6:$B$45,0)),""))</f>
        <v/>
      </c>
      <c r="D294" s="73" t="str">
        <f>IF($B294="","",IFERROR(INDEX(الموظفون!$M$6:$M$45,MATCH($B294,الموظفون!$B$6:$B$45,0)),""))</f>
        <v/>
      </c>
      <c r="E294" s="49"/>
      <c r="F294" s="49"/>
      <c r="G294" s="74" t="str">
        <f t="shared" si="8"/>
        <v/>
      </c>
      <c r="H294" s="75" t="str">
        <f t="shared" si="9"/>
        <v/>
      </c>
      <c r="I294" s="75" t="str">
        <f>IF($H294="","",MAX(0,ROUND($H294-الإعدادات!$C$24-الإعدادات!$C$27,2)))</f>
        <v/>
      </c>
      <c r="J294" s="76" t="str">
        <f>IF(OR($B294="",$G294="",$G294&lt;=0),"",COUNTIFS($B$6:$B294,$B294,$G$6:$G294,"&gt;0"))</f>
        <v/>
      </c>
      <c r="K294" s="75" t="str">
        <f>IF($J294="","",INDEX(الجزاءات!$E$6:$H$9,MATCH($G294,الجزاءات!$B$6:$B$9,1),MIN($J294,4)))</f>
        <v/>
      </c>
      <c r="L294" s="45"/>
    </row>
    <row r="295" spans="1:12" ht="15.75" customHeight="1" x14ac:dyDescent="0.35">
      <c r="A295" s="31"/>
      <c r="B295" s="30"/>
      <c r="C295" s="72" t="str">
        <f>IF($B295="","",IFERROR(INDEX(الموظفون!$C$6:$C$45,MATCH($B295,الموظفون!$B$6:$B$45,0)),""))</f>
        <v/>
      </c>
      <c r="D295" s="73" t="str">
        <f>IF($B295="","",IFERROR(INDEX(الموظفون!$M$6:$M$45,MATCH($B295,الموظفون!$B$6:$B$45,0)),""))</f>
        <v/>
      </c>
      <c r="E295" s="49"/>
      <c r="F295" s="49"/>
      <c r="G295" s="74" t="str">
        <f t="shared" si="8"/>
        <v/>
      </c>
      <c r="H295" s="75" t="str">
        <f t="shared" si="9"/>
        <v/>
      </c>
      <c r="I295" s="75" t="str">
        <f>IF($H295="","",MAX(0,ROUND($H295-الإعدادات!$C$24-الإعدادات!$C$27,2)))</f>
        <v/>
      </c>
      <c r="J295" s="76" t="str">
        <f>IF(OR($B295="",$G295="",$G295&lt;=0),"",COUNTIFS($B$6:$B295,$B295,$G$6:$G295,"&gt;0"))</f>
        <v/>
      </c>
      <c r="K295" s="75" t="str">
        <f>IF($J295="","",INDEX(الجزاءات!$E$6:$H$9,MATCH($G295,الجزاءات!$B$6:$B$9,1),MIN($J295,4)))</f>
        <v/>
      </c>
      <c r="L295" s="45"/>
    </row>
    <row r="296" spans="1:12" ht="15.75" customHeight="1" x14ac:dyDescent="0.35">
      <c r="A296" s="31"/>
      <c r="B296" s="30"/>
      <c r="C296" s="72" t="str">
        <f>IF($B296="","",IFERROR(INDEX(الموظفون!$C$6:$C$45,MATCH($B296,الموظفون!$B$6:$B$45,0)),""))</f>
        <v/>
      </c>
      <c r="D296" s="73" t="str">
        <f>IF($B296="","",IFERROR(INDEX(الموظفون!$M$6:$M$45,MATCH($B296,الموظفون!$B$6:$B$45,0)),""))</f>
        <v/>
      </c>
      <c r="E296" s="49"/>
      <c r="F296" s="49"/>
      <c r="G296" s="74" t="str">
        <f t="shared" si="8"/>
        <v/>
      </c>
      <c r="H296" s="75" t="str">
        <f t="shared" si="9"/>
        <v/>
      </c>
      <c r="I296" s="75" t="str">
        <f>IF($H296="","",MAX(0,ROUND($H296-الإعدادات!$C$24-الإعدادات!$C$27,2)))</f>
        <v/>
      </c>
      <c r="J296" s="76" t="str">
        <f>IF(OR($B296="",$G296="",$G296&lt;=0),"",COUNTIFS($B$6:$B296,$B296,$G$6:$G296,"&gt;0"))</f>
        <v/>
      </c>
      <c r="K296" s="75" t="str">
        <f>IF($J296="","",INDEX(الجزاءات!$E$6:$H$9,MATCH($G296,الجزاءات!$B$6:$B$9,1),MIN($J296,4)))</f>
        <v/>
      </c>
      <c r="L296" s="45"/>
    </row>
    <row r="297" spans="1:12" ht="15.75" customHeight="1" x14ac:dyDescent="0.35">
      <c r="A297" s="31"/>
      <c r="B297" s="30"/>
      <c r="C297" s="72" t="str">
        <f>IF($B297="","",IFERROR(INDEX(الموظفون!$C$6:$C$45,MATCH($B297,الموظفون!$B$6:$B$45,0)),""))</f>
        <v/>
      </c>
      <c r="D297" s="73" t="str">
        <f>IF($B297="","",IFERROR(INDEX(الموظفون!$M$6:$M$45,MATCH($B297,الموظفون!$B$6:$B$45,0)),""))</f>
        <v/>
      </c>
      <c r="E297" s="49"/>
      <c r="F297" s="49"/>
      <c r="G297" s="74" t="str">
        <f t="shared" si="8"/>
        <v/>
      </c>
      <c r="H297" s="75" t="str">
        <f t="shared" si="9"/>
        <v/>
      </c>
      <c r="I297" s="75" t="str">
        <f>IF($H297="","",MAX(0,ROUND($H297-الإعدادات!$C$24-الإعدادات!$C$27,2)))</f>
        <v/>
      </c>
      <c r="J297" s="76" t="str">
        <f>IF(OR($B297="",$G297="",$G297&lt;=0),"",COUNTIFS($B$6:$B297,$B297,$G$6:$G297,"&gt;0"))</f>
        <v/>
      </c>
      <c r="K297" s="75" t="str">
        <f>IF($J297="","",INDEX(الجزاءات!$E$6:$H$9,MATCH($G297,الجزاءات!$B$6:$B$9,1),MIN($J297,4)))</f>
        <v/>
      </c>
      <c r="L297" s="45"/>
    </row>
    <row r="298" spans="1:12" ht="15.75" customHeight="1" x14ac:dyDescent="0.35">
      <c r="A298" s="31"/>
      <c r="B298" s="30"/>
      <c r="C298" s="72" t="str">
        <f>IF($B298="","",IFERROR(INDEX(الموظفون!$C$6:$C$45,MATCH($B298,الموظفون!$B$6:$B$45,0)),""))</f>
        <v/>
      </c>
      <c r="D298" s="73" t="str">
        <f>IF($B298="","",IFERROR(INDEX(الموظفون!$M$6:$M$45,MATCH($B298,الموظفون!$B$6:$B$45,0)),""))</f>
        <v/>
      </c>
      <c r="E298" s="49"/>
      <c r="F298" s="49"/>
      <c r="G298" s="74" t="str">
        <f t="shared" si="8"/>
        <v/>
      </c>
      <c r="H298" s="75" t="str">
        <f t="shared" si="9"/>
        <v/>
      </c>
      <c r="I298" s="75" t="str">
        <f>IF($H298="","",MAX(0,ROUND($H298-الإعدادات!$C$24-الإعدادات!$C$27,2)))</f>
        <v/>
      </c>
      <c r="J298" s="76" t="str">
        <f>IF(OR($B298="",$G298="",$G298&lt;=0),"",COUNTIFS($B$6:$B298,$B298,$G$6:$G298,"&gt;0"))</f>
        <v/>
      </c>
      <c r="K298" s="75" t="str">
        <f>IF($J298="","",INDEX(الجزاءات!$E$6:$H$9,MATCH($G298,الجزاءات!$B$6:$B$9,1),MIN($J298,4)))</f>
        <v/>
      </c>
      <c r="L298" s="45"/>
    </row>
    <row r="299" spans="1:12" ht="15.75" customHeight="1" x14ac:dyDescent="0.35">
      <c r="A299" s="31"/>
      <c r="B299" s="30"/>
      <c r="C299" s="72" t="str">
        <f>IF($B299="","",IFERROR(INDEX(الموظفون!$C$6:$C$45,MATCH($B299,الموظفون!$B$6:$B$45,0)),""))</f>
        <v/>
      </c>
      <c r="D299" s="73" t="str">
        <f>IF($B299="","",IFERROR(INDEX(الموظفون!$M$6:$M$45,MATCH($B299,الموظفون!$B$6:$B$45,0)),""))</f>
        <v/>
      </c>
      <c r="E299" s="49"/>
      <c r="F299" s="49"/>
      <c r="G299" s="74" t="str">
        <f t="shared" si="8"/>
        <v/>
      </c>
      <c r="H299" s="75" t="str">
        <f t="shared" si="9"/>
        <v/>
      </c>
      <c r="I299" s="75" t="str">
        <f>IF($H299="","",MAX(0,ROUND($H299-الإعدادات!$C$24-الإعدادات!$C$27,2)))</f>
        <v/>
      </c>
      <c r="J299" s="76" t="str">
        <f>IF(OR($B299="",$G299="",$G299&lt;=0),"",COUNTIFS($B$6:$B299,$B299,$G$6:$G299,"&gt;0"))</f>
        <v/>
      </c>
      <c r="K299" s="75" t="str">
        <f>IF($J299="","",INDEX(الجزاءات!$E$6:$H$9,MATCH($G299,الجزاءات!$B$6:$B$9,1),MIN($J299,4)))</f>
        <v/>
      </c>
      <c r="L299" s="45"/>
    </row>
    <row r="300" spans="1:12" ht="15.75" customHeight="1" x14ac:dyDescent="0.35">
      <c r="A300" s="31"/>
      <c r="B300" s="30"/>
      <c r="C300" s="72" t="str">
        <f>IF($B300="","",IFERROR(INDEX(الموظفون!$C$6:$C$45,MATCH($B300,الموظفون!$B$6:$B$45,0)),""))</f>
        <v/>
      </c>
      <c r="D300" s="73" t="str">
        <f>IF($B300="","",IFERROR(INDEX(الموظفون!$M$6:$M$45,MATCH($B300,الموظفون!$B$6:$B$45,0)),""))</f>
        <v/>
      </c>
      <c r="E300" s="49"/>
      <c r="F300" s="49"/>
      <c r="G300" s="74" t="str">
        <f t="shared" si="8"/>
        <v/>
      </c>
      <c r="H300" s="75" t="str">
        <f t="shared" si="9"/>
        <v/>
      </c>
      <c r="I300" s="75" t="str">
        <f>IF($H300="","",MAX(0,ROUND($H300-الإعدادات!$C$24-الإعدادات!$C$27,2)))</f>
        <v/>
      </c>
      <c r="J300" s="76" t="str">
        <f>IF(OR($B300="",$G300="",$G300&lt;=0),"",COUNTIFS($B$6:$B300,$B300,$G$6:$G300,"&gt;0"))</f>
        <v/>
      </c>
      <c r="K300" s="75" t="str">
        <f>IF($J300="","",INDEX(الجزاءات!$E$6:$H$9,MATCH($G300,الجزاءات!$B$6:$B$9,1),MIN($J300,4)))</f>
        <v/>
      </c>
      <c r="L300" s="45"/>
    </row>
    <row r="301" spans="1:12" ht="15.75" customHeight="1" x14ac:dyDescent="0.35">
      <c r="A301" s="31"/>
      <c r="B301" s="30"/>
      <c r="C301" s="72" t="str">
        <f>IF($B301="","",IFERROR(INDEX(الموظفون!$C$6:$C$45,MATCH($B301,الموظفون!$B$6:$B$45,0)),""))</f>
        <v/>
      </c>
      <c r="D301" s="73" t="str">
        <f>IF($B301="","",IFERROR(INDEX(الموظفون!$M$6:$M$45,MATCH($B301,الموظفون!$B$6:$B$45,0)),""))</f>
        <v/>
      </c>
      <c r="E301" s="49"/>
      <c r="F301" s="49"/>
      <c r="G301" s="74" t="str">
        <f t="shared" si="8"/>
        <v/>
      </c>
      <c r="H301" s="75" t="str">
        <f t="shared" si="9"/>
        <v/>
      </c>
      <c r="I301" s="75" t="str">
        <f>IF($H301="","",MAX(0,ROUND($H301-الإعدادات!$C$24-الإعدادات!$C$27,2)))</f>
        <v/>
      </c>
      <c r="J301" s="76" t="str">
        <f>IF(OR($B301="",$G301="",$G301&lt;=0),"",COUNTIFS($B$6:$B301,$B301,$G$6:$G301,"&gt;0"))</f>
        <v/>
      </c>
      <c r="K301" s="75" t="str">
        <f>IF($J301="","",INDEX(الجزاءات!$E$6:$H$9,MATCH($G301,الجزاءات!$B$6:$B$9,1),MIN($J301,4)))</f>
        <v/>
      </c>
      <c r="L301" s="45"/>
    </row>
    <row r="302" spans="1:12" ht="15.75" customHeight="1" x14ac:dyDescent="0.35">
      <c r="A302" s="31"/>
      <c r="B302" s="30"/>
      <c r="C302" s="72" t="str">
        <f>IF($B302="","",IFERROR(INDEX(الموظفون!$C$6:$C$45,MATCH($B302,الموظفون!$B$6:$B$45,0)),""))</f>
        <v/>
      </c>
      <c r="D302" s="73" t="str">
        <f>IF($B302="","",IFERROR(INDEX(الموظفون!$M$6:$M$45,MATCH($B302,الموظفون!$B$6:$B$45,0)),""))</f>
        <v/>
      </c>
      <c r="E302" s="49"/>
      <c r="F302" s="49"/>
      <c r="G302" s="74" t="str">
        <f t="shared" si="8"/>
        <v/>
      </c>
      <c r="H302" s="75" t="str">
        <f t="shared" si="9"/>
        <v/>
      </c>
      <c r="I302" s="75" t="str">
        <f>IF($H302="","",MAX(0,ROUND($H302-الإعدادات!$C$24-الإعدادات!$C$27,2)))</f>
        <v/>
      </c>
      <c r="J302" s="76" t="str">
        <f>IF(OR($B302="",$G302="",$G302&lt;=0),"",COUNTIFS($B$6:$B302,$B302,$G$6:$G302,"&gt;0"))</f>
        <v/>
      </c>
      <c r="K302" s="75" t="str">
        <f>IF($J302="","",INDEX(الجزاءات!$E$6:$H$9,MATCH($G302,الجزاءات!$B$6:$B$9,1),MIN($J302,4)))</f>
        <v/>
      </c>
      <c r="L302" s="45"/>
    </row>
    <row r="303" spans="1:12" ht="15.75" customHeight="1" x14ac:dyDescent="0.35">
      <c r="A303" s="31"/>
      <c r="B303" s="30"/>
      <c r="C303" s="72" t="str">
        <f>IF($B303="","",IFERROR(INDEX(الموظفون!$C$6:$C$45,MATCH($B303,الموظفون!$B$6:$B$45,0)),""))</f>
        <v/>
      </c>
      <c r="D303" s="73" t="str">
        <f>IF($B303="","",IFERROR(INDEX(الموظفون!$M$6:$M$45,MATCH($B303,الموظفون!$B$6:$B$45,0)),""))</f>
        <v/>
      </c>
      <c r="E303" s="49"/>
      <c r="F303" s="49"/>
      <c r="G303" s="74" t="str">
        <f t="shared" si="8"/>
        <v/>
      </c>
      <c r="H303" s="75" t="str">
        <f t="shared" si="9"/>
        <v/>
      </c>
      <c r="I303" s="75" t="str">
        <f>IF($H303="","",MAX(0,ROUND($H303-الإعدادات!$C$24-الإعدادات!$C$27,2)))</f>
        <v/>
      </c>
      <c r="J303" s="76" t="str">
        <f>IF(OR($B303="",$G303="",$G303&lt;=0),"",COUNTIFS($B$6:$B303,$B303,$G$6:$G303,"&gt;0"))</f>
        <v/>
      </c>
      <c r="K303" s="75" t="str">
        <f>IF($J303="","",INDEX(الجزاءات!$E$6:$H$9,MATCH($G303,الجزاءات!$B$6:$B$9,1),MIN($J303,4)))</f>
        <v/>
      </c>
      <c r="L303" s="45"/>
    </row>
    <row r="304" spans="1:12" ht="15.75" customHeight="1" x14ac:dyDescent="0.35">
      <c r="A304" s="31"/>
      <c r="B304" s="30"/>
      <c r="C304" s="72" t="str">
        <f>IF($B304="","",IFERROR(INDEX(الموظفون!$C$6:$C$45,MATCH($B304,الموظفون!$B$6:$B$45,0)),""))</f>
        <v/>
      </c>
      <c r="D304" s="73" t="str">
        <f>IF($B304="","",IFERROR(INDEX(الموظفون!$M$6:$M$45,MATCH($B304,الموظفون!$B$6:$B$45,0)),""))</f>
        <v/>
      </c>
      <c r="E304" s="49"/>
      <c r="F304" s="49"/>
      <c r="G304" s="74" t="str">
        <f t="shared" si="8"/>
        <v/>
      </c>
      <c r="H304" s="75" t="str">
        <f t="shared" si="9"/>
        <v/>
      </c>
      <c r="I304" s="75" t="str">
        <f>IF($H304="","",MAX(0,ROUND($H304-الإعدادات!$C$24-الإعدادات!$C$27,2)))</f>
        <v/>
      </c>
      <c r="J304" s="76" t="str">
        <f>IF(OR($B304="",$G304="",$G304&lt;=0),"",COUNTIFS($B$6:$B304,$B304,$G$6:$G304,"&gt;0"))</f>
        <v/>
      </c>
      <c r="K304" s="75" t="str">
        <f>IF($J304="","",INDEX(الجزاءات!$E$6:$H$9,MATCH($G304,الجزاءات!$B$6:$B$9,1),MIN($J304,4)))</f>
        <v/>
      </c>
      <c r="L304" s="45"/>
    </row>
    <row r="305" spans="1:12" ht="15.75" customHeight="1" x14ac:dyDescent="0.35">
      <c r="A305" s="31"/>
      <c r="B305" s="30"/>
      <c r="C305" s="72" t="str">
        <f>IF($B305="","",IFERROR(INDEX(الموظفون!$C$6:$C$45,MATCH($B305,الموظفون!$B$6:$B$45,0)),""))</f>
        <v/>
      </c>
      <c r="D305" s="73" t="str">
        <f>IF($B305="","",IFERROR(INDEX(الموظفون!$M$6:$M$45,MATCH($B305,الموظفون!$B$6:$B$45,0)),""))</f>
        <v/>
      </c>
      <c r="E305" s="49"/>
      <c r="F305" s="49"/>
      <c r="G305" s="74" t="str">
        <f t="shared" si="8"/>
        <v/>
      </c>
      <c r="H305" s="75" t="str">
        <f t="shared" si="9"/>
        <v/>
      </c>
      <c r="I305" s="75" t="str">
        <f>IF($H305="","",MAX(0,ROUND($H305-الإعدادات!$C$24-الإعدادات!$C$27,2)))</f>
        <v/>
      </c>
      <c r="J305" s="76" t="str">
        <f>IF(OR($B305="",$G305="",$G305&lt;=0),"",COUNTIFS($B$6:$B305,$B305,$G$6:$G305,"&gt;0"))</f>
        <v/>
      </c>
      <c r="K305" s="75" t="str">
        <f>IF($J305="","",INDEX(الجزاءات!$E$6:$H$9,MATCH($G305,الجزاءات!$B$6:$B$9,1),MIN($J305,4)))</f>
        <v/>
      </c>
      <c r="L305" s="45"/>
    </row>
    <row r="306" spans="1:12" ht="15.75" customHeight="1" x14ac:dyDescent="0.35">
      <c r="A306" s="31"/>
      <c r="B306" s="30"/>
      <c r="C306" s="72" t="str">
        <f>IF($B306="","",IFERROR(INDEX(الموظفون!$C$6:$C$45,MATCH($B306,الموظفون!$B$6:$B$45,0)),""))</f>
        <v/>
      </c>
      <c r="D306" s="73" t="str">
        <f>IF($B306="","",IFERROR(INDEX(الموظفون!$M$6:$M$45,MATCH($B306,الموظفون!$B$6:$B$45,0)),""))</f>
        <v/>
      </c>
      <c r="E306" s="49"/>
      <c r="F306" s="49"/>
      <c r="G306" s="74" t="str">
        <f t="shared" si="8"/>
        <v/>
      </c>
      <c r="H306" s="75" t="str">
        <f t="shared" si="9"/>
        <v/>
      </c>
      <c r="I306" s="75" t="str">
        <f>IF($H306="","",MAX(0,ROUND($H306-الإعدادات!$C$24-الإعدادات!$C$27,2)))</f>
        <v/>
      </c>
      <c r="J306" s="76" t="str">
        <f>IF(OR($B306="",$G306="",$G306&lt;=0),"",COUNTIFS($B$6:$B306,$B306,$G$6:$G306,"&gt;0"))</f>
        <v/>
      </c>
      <c r="K306" s="75" t="str">
        <f>IF($J306="","",INDEX(الجزاءات!$E$6:$H$9,MATCH($G306,الجزاءات!$B$6:$B$9,1),MIN($J306,4)))</f>
        <v/>
      </c>
      <c r="L306" s="45"/>
    </row>
    <row r="307" spans="1:12" ht="15.75" customHeight="1" x14ac:dyDescent="0.35">
      <c r="A307" s="31"/>
      <c r="B307" s="30"/>
      <c r="C307" s="72" t="str">
        <f>IF($B307="","",IFERROR(INDEX(الموظفون!$C$6:$C$45,MATCH($B307,الموظفون!$B$6:$B$45,0)),""))</f>
        <v/>
      </c>
      <c r="D307" s="73" t="str">
        <f>IF($B307="","",IFERROR(INDEX(الموظفون!$M$6:$M$45,MATCH($B307,الموظفون!$B$6:$B$45,0)),""))</f>
        <v/>
      </c>
      <c r="E307" s="49"/>
      <c r="F307" s="49"/>
      <c r="G307" s="74" t="str">
        <f t="shared" si="8"/>
        <v/>
      </c>
      <c r="H307" s="75" t="str">
        <f t="shared" si="9"/>
        <v/>
      </c>
      <c r="I307" s="75" t="str">
        <f>IF($H307="","",MAX(0,ROUND($H307-الإعدادات!$C$24-الإعدادات!$C$27,2)))</f>
        <v/>
      </c>
      <c r="J307" s="76" t="str">
        <f>IF(OR($B307="",$G307="",$G307&lt;=0),"",COUNTIFS($B$6:$B307,$B307,$G$6:$G307,"&gt;0"))</f>
        <v/>
      </c>
      <c r="K307" s="75" t="str">
        <f>IF($J307="","",INDEX(الجزاءات!$E$6:$H$9,MATCH($G307,الجزاءات!$B$6:$B$9,1),MIN($J307,4)))</f>
        <v/>
      </c>
      <c r="L307" s="45"/>
    </row>
    <row r="308" spans="1:12" ht="15.75" customHeight="1" x14ac:dyDescent="0.35">
      <c r="A308" s="31"/>
      <c r="B308" s="30"/>
      <c r="C308" s="72" t="str">
        <f>IF($B308="","",IFERROR(INDEX(الموظفون!$C$6:$C$45,MATCH($B308,الموظفون!$B$6:$B$45,0)),""))</f>
        <v/>
      </c>
      <c r="D308" s="73" t="str">
        <f>IF($B308="","",IFERROR(INDEX(الموظفون!$M$6:$M$45,MATCH($B308,الموظفون!$B$6:$B$45,0)),""))</f>
        <v/>
      </c>
      <c r="E308" s="49"/>
      <c r="F308" s="49"/>
      <c r="G308" s="74" t="str">
        <f t="shared" si="8"/>
        <v/>
      </c>
      <c r="H308" s="75" t="str">
        <f t="shared" si="9"/>
        <v/>
      </c>
      <c r="I308" s="75" t="str">
        <f>IF($H308="","",MAX(0,ROUND($H308-الإعدادات!$C$24-الإعدادات!$C$27,2)))</f>
        <v/>
      </c>
      <c r="J308" s="76" t="str">
        <f>IF(OR($B308="",$G308="",$G308&lt;=0),"",COUNTIFS($B$6:$B308,$B308,$G$6:$G308,"&gt;0"))</f>
        <v/>
      </c>
      <c r="K308" s="75" t="str">
        <f>IF($J308="","",INDEX(الجزاءات!$E$6:$H$9,MATCH($G308,الجزاءات!$B$6:$B$9,1),MIN($J308,4)))</f>
        <v/>
      </c>
      <c r="L308" s="45"/>
    </row>
    <row r="309" spans="1:12" ht="15.75" customHeight="1" x14ac:dyDescent="0.35">
      <c r="A309" s="31"/>
      <c r="B309" s="30"/>
      <c r="C309" s="72" t="str">
        <f>IF($B309="","",IFERROR(INDEX(الموظفون!$C$6:$C$45,MATCH($B309,الموظفون!$B$6:$B$45,0)),""))</f>
        <v/>
      </c>
      <c r="D309" s="73" t="str">
        <f>IF($B309="","",IFERROR(INDEX(الموظفون!$M$6:$M$45,MATCH($B309,الموظفون!$B$6:$B$45,0)),""))</f>
        <v/>
      </c>
      <c r="E309" s="49"/>
      <c r="F309" s="49"/>
      <c r="G309" s="74" t="str">
        <f t="shared" si="8"/>
        <v/>
      </c>
      <c r="H309" s="75" t="str">
        <f t="shared" si="9"/>
        <v/>
      </c>
      <c r="I309" s="75" t="str">
        <f>IF($H309="","",MAX(0,ROUND($H309-الإعدادات!$C$24-الإعدادات!$C$27,2)))</f>
        <v/>
      </c>
      <c r="J309" s="76" t="str">
        <f>IF(OR($B309="",$G309="",$G309&lt;=0),"",COUNTIFS($B$6:$B309,$B309,$G$6:$G309,"&gt;0"))</f>
        <v/>
      </c>
      <c r="K309" s="75" t="str">
        <f>IF($J309="","",INDEX(الجزاءات!$E$6:$H$9,MATCH($G309,الجزاءات!$B$6:$B$9,1),MIN($J309,4)))</f>
        <v/>
      </c>
      <c r="L309" s="45"/>
    </row>
    <row r="310" spans="1:12" ht="15.75" customHeight="1" x14ac:dyDescent="0.35">
      <c r="A310" s="31"/>
      <c r="B310" s="30"/>
      <c r="C310" s="72" t="str">
        <f>IF($B310="","",IFERROR(INDEX(الموظفون!$C$6:$C$45,MATCH($B310,الموظفون!$B$6:$B$45,0)),""))</f>
        <v/>
      </c>
      <c r="D310" s="73" t="str">
        <f>IF($B310="","",IFERROR(INDEX(الموظفون!$M$6:$M$45,MATCH($B310,الموظفون!$B$6:$B$45,0)),""))</f>
        <v/>
      </c>
      <c r="E310" s="49"/>
      <c r="F310" s="49"/>
      <c r="G310" s="74" t="str">
        <f t="shared" si="8"/>
        <v/>
      </c>
      <c r="H310" s="75" t="str">
        <f t="shared" si="9"/>
        <v/>
      </c>
      <c r="I310" s="75" t="str">
        <f>IF($H310="","",MAX(0,ROUND($H310-الإعدادات!$C$24-الإعدادات!$C$27,2)))</f>
        <v/>
      </c>
      <c r="J310" s="76" t="str">
        <f>IF(OR($B310="",$G310="",$G310&lt;=0),"",COUNTIFS($B$6:$B310,$B310,$G$6:$G310,"&gt;0"))</f>
        <v/>
      </c>
      <c r="K310" s="75" t="str">
        <f>IF($J310="","",INDEX(الجزاءات!$E$6:$H$9,MATCH($G310,الجزاءات!$B$6:$B$9,1),MIN($J310,4)))</f>
        <v/>
      </c>
      <c r="L310" s="45"/>
    </row>
    <row r="311" spans="1:12" ht="15.75" customHeight="1" x14ac:dyDescent="0.35">
      <c r="A311" s="31"/>
      <c r="B311" s="30"/>
      <c r="C311" s="72" t="str">
        <f>IF($B311="","",IFERROR(INDEX(الموظفون!$C$6:$C$45,MATCH($B311,الموظفون!$B$6:$B$45,0)),""))</f>
        <v/>
      </c>
      <c r="D311" s="73" t="str">
        <f>IF($B311="","",IFERROR(INDEX(الموظفون!$M$6:$M$45,MATCH($B311,الموظفون!$B$6:$B$45,0)),""))</f>
        <v/>
      </c>
      <c r="E311" s="49"/>
      <c r="F311" s="49"/>
      <c r="G311" s="74" t="str">
        <f t="shared" si="8"/>
        <v/>
      </c>
      <c r="H311" s="75" t="str">
        <f t="shared" si="9"/>
        <v/>
      </c>
      <c r="I311" s="75" t="str">
        <f>IF($H311="","",MAX(0,ROUND($H311-الإعدادات!$C$24-الإعدادات!$C$27,2)))</f>
        <v/>
      </c>
      <c r="J311" s="76" t="str">
        <f>IF(OR($B311="",$G311="",$G311&lt;=0),"",COUNTIFS($B$6:$B311,$B311,$G$6:$G311,"&gt;0"))</f>
        <v/>
      </c>
      <c r="K311" s="75" t="str">
        <f>IF($J311="","",INDEX(الجزاءات!$E$6:$H$9,MATCH($G311,الجزاءات!$B$6:$B$9,1),MIN($J311,4)))</f>
        <v/>
      </c>
      <c r="L311" s="45"/>
    </row>
    <row r="312" spans="1:12" ht="15.75" customHeight="1" x14ac:dyDescent="0.35">
      <c r="A312" s="31"/>
      <c r="B312" s="30"/>
      <c r="C312" s="72" t="str">
        <f>IF($B312="","",IFERROR(INDEX(الموظفون!$C$6:$C$45,MATCH($B312,الموظفون!$B$6:$B$45,0)),""))</f>
        <v/>
      </c>
      <c r="D312" s="73" t="str">
        <f>IF($B312="","",IFERROR(INDEX(الموظفون!$M$6:$M$45,MATCH($B312,الموظفون!$B$6:$B$45,0)),""))</f>
        <v/>
      </c>
      <c r="E312" s="49"/>
      <c r="F312" s="49"/>
      <c r="G312" s="74" t="str">
        <f t="shared" si="8"/>
        <v/>
      </c>
      <c r="H312" s="75" t="str">
        <f t="shared" si="9"/>
        <v/>
      </c>
      <c r="I312" s="75" t="str">
        <f>IF($H312="","",MAX(0,ROUND($H312-الإعدادات!$C$24-الإعدادات!$C$27,2)))</f>
        <v/>
      </c>
      <c r="J312" s="76" t="str">
        <f>IF(OR($B312="",$G312="",$G312&lt;=0),"",COUNTIFS($B$6:$B312,$B312,$G$6:$G312,"&gt;0"))</f>
        <v/>
      </c>
      <c r="K312" s="75" t="str">
        <f>IF($J312="","",INDEX(الجزاءات!$E$6:$H$9,MATCH($G312,الجزاءات!$B$6:$B$9,1),MIN($J312,4)))</f>
        <v/>
      </c>
      <c r="L312" s="45"/>
    </row>
    <row r="313" spans="1:12" ht="15.75" customHeight="1" x14ac:dyDescent="0.35">
      <c r="A313" s="31"/>
      <c r="B313" s="30"/>
      <c r="C313" s="72" t="str">
        <f>IF($B313="","",IFERROR(INDEX(الموظفون!$C$6:$C$45,MATCH($B313,الموظفون!$B$6:$B$45,0)),""))</f>
        <v/>
      </c>
      <c r="D313" s="73" t="str">
        <f>IF($B313="","",IFERROR(INDEX(الموظفون!$M$6:$M$45,MATCH($B313,الموظفون!$B$6:$B$45,0)),""))</f>
        <v/>
      </c>
      <c r="E313" s="49"/>
      <c r="F313" s="49"/>
      <c r="G313" s="74" t="str">
        <f t="shared" si="8"/>
        <v/>
      </c>
      <c r="H313" s="75" t="str">
        <f t="shared" si="9"/>
        <v/>
      </c>
      <c r="I313" s="75" t="str">
        <f>IF($H313="","",MAX(0,ROUND($H313-الإعدادات!$C$24-الإعدادات!$C$27,2)))</f>
        <v/>
      </c>
      <c r="J313" s="76" t="str">
        <f>IF(OR($B313="",$G313="",$G313&lt;=0),"",COUNTIFS($B$6:$B313,$B313,$G$6:$G313,"&gt;0"))</f>
        <v/>
      </c>
      <c r="K313" s="75" t="str">
        <f>IF($J313="","",INDEX(الجزاءات!$E$6:$H$9,MATCH($G313,الجزاءات!$B$6:$B$9,1),MIN($J313,4)))</f>
        <v/>
      </c>
      <c r="L313" s="45"/>
    </row>
    <row r="314" spans="1:12" ht="15.75" customHeight="1" x14ac:dyDescent="0.35">
      <c r="A314" s="31"/>
      <c r="B314" s="30"/>
      <c r="C314" s="72" t="str">
        <f>IF($B314="","",IFERROR(INDEX(الموظفون!$C$6:$C$45,MATCH($B314,الموظفون!$B$6:$B$45,0)),""))</f>
        <v/>
      </c>
      <c r="D314" s="73" t="str">
        <f>IF($B314="","",IFERROR(INDEX(الموظفون!$M$6:$M$45,MATCH($B314,الموظفون!$B$6:$B$45,0)),""))</f>
        <v/>
      </c>
      <c r="E314" s="49"/>
      <c r="F314" s="49"/>
      <c r="G314" s="74" t="str">
        <f t="shared" si="8"/>
        <v/>
      </c>
      <c r="H314" s="75" t="str">
        <f t="shared" si="9"/>
        <v/>
      </c>
      <c r="I314" s="75" t="str">
        <f>IF($H314="","",MAX(0,ROUND($H314-الإعدادات!$C$24-الإعدادات!$C$27,2)))</f>
        <v/>
      </c>
      <c r="J314" s="76" t="str">
        <f>IF(OR($B314="",$G314="",$G314&lt;=0),"",COUNTIFS($B$6:$B314,$B314,$G$6:$G314,"&gt;0"))</f>
        <v/>
      </c>
      <c r="K314" s="75" t="str">
        <f>IF($J314="","",INDEX(الجزاءات!$E$6:$H$9,MATCH($G314,الجزاءات!$B$6:$B$9,1),MIN($J314,4)))</f>
        <v/>
      </c>
      <c r="L314" s="45"/>
    </row>
    <row r="315" spans="1:12" ht="15.75" customHeight="1" x14ac:dyDescent="0.35">
      <c r="A315" s="31"/>
      <c r="B315" s="30"/>
      <c r="C315" s="72" t="str">
        <f>IF($B315="","",IFERROR(INDEX(الموظفون!$C$6:$C$45,MATCH($B315,الموظفون!$B$6:$B$45,0)),""))</f>
        <v/>
      </c>
      <c r="D315" s="73" t="str">
        <f>IF($B315="","",IFERROR(INDEX(الموظفون!$M$6:$M$45,MATCH($B315,الموظفون!$B$6:$B$45,0)),""))</f>
        <v/>
      </c>
      <c r="E315" s="49"/>
      <c r="F315" s="49"/>
      <c r="G315" s="74" t="str">
        <f t="shared" si="8"/>
        <v/>
      </c>
      <c r="H315" s="75" t="str">
        <f t="shared" si="9"/>
        <v/>
      </c>
      <c r="I315" s="75" t="str">
        <f>IF($H315="","",MAX(0,ROUND($H315-الإعدادات!$C$24-الإعدادات!$C$27,2)))</f>
        <v/>
      </c>
      <c r="J315" s="76" t="str">
        <f>IF(OR($B315="",$G315="",$G315&lt;=0),"",COUNTIFS($B$6:$B315,$B315,$G$6:$G315,"&gt;0"))</f>
        <v/>
      </c>
      <c r="K315" s="75" t="str">
        <f>IF($J315="","",INDEX(الجزاءات!$E$6:$H$9,MATCH($G315,الجزاءات!$B$6:$B$9,1),MIN($J315,4)))</f>
        <v/>
      </c>
      <c r="L315" s="45"/>
    </row>
    <row r="316" spans="1:12" ht="15.75" customHeight="1" x14ac:dyDescent="0.35">
      <c r="A316" s="31"/>
      <c r="B316" s="30"/>
      <c r="C316" s="72" t="str">
        <f>IF($B316="","",IFERROR(INDEX(الموظفون!$C$6:$C$45,MATCH($B316,الموظفون!$B$6:$B$45,0)),""))</f>
        <v/>
      </c>
      <c r="D316" s="73" t="str">
        <f>IF($B316="","",IFERROR(INDEX(الموظفون!$M$6:$M$45,MATCH($B316,الموظفون!$B$6:$B$45,0)),""))</f>
        <v/>
      </c>
      <c r="E316" s="49"/>
      <c r="F316" s="49"/>
      <c r="G316" s="74" t="str">
        <f t="shared" si="8"/>
        <v/>
      </c>
      <c r="H316" s="75" t="str">
        <f t="shared" si="9"/>
        <v/>
      </c>
      <c r="I316" s="75" t="str">
        <f>IF($H316="","",MAX(0,ROUND($H316-الإعدادات!$C$24-الإعدادات!$C$27,2)))</f>
        <v/>
      </c>
      <c r="J316" s="76" t="str">
        <f>IF(OR($B316="",$G316="",$G316&lt;=0),"",COUNTIFS($B$6:$B316,$B316,$G$6:$G316,"&gt;0"))</f>
        <v/>
      </c>
      <c r="K316" s="75" t="str">
        <f>IF($J316="","",INDEX(الجزاءات!$E$6:$H$9,MATCH($G316,الجزاءات!$B$6:$B$9,1),MIN($J316,4)))</f>
        <v/>
      </c>
      <c r="L316" s="45"/>
    </row>
    <row r="317" spans="1:12" ht="15.75" customHeight="1" x14ac:dyDescent="0.35">
      <c r="A317" s="31"/>
      <c r="B317" s="30"/>
      <c r="C317" s="72" t="str">
        <f>IF($B317="","",IFERROR(INDEX(الموظفون!$C$6:$C$45,MATCH($B317,الموظفون!$B$6:$B$45,0)),""))</f>
        <v/>
      </c>
      <c r="D317" s="73" t="str">
        <f>IF($B317="","",IFERROR(INDEX(الموظفون!$M$6:$M$45,MATCH($B317,الموظفون!$B$6:$B$45,0)),""))</f>
        <v/>
      </c>
      <c r="E317" s="49"/>
      <c r="F317" s="49"/>
      <c r="G317" s="74" t="str">
        <f t="shared" si="8"/>
        <v/>
      </c>
      <c r="H317" s="75" t="str">
        <f t="shared" si="9"/>
        <v/>
      </c>
      <c r="I317" s="75" t="str">
        <f>IF($H317="","",MAX(0,ROUND($H317-الإعدادات!$C$24-الإعدادات!$C$27,2)))</f>
        <v/>
      </c>
      <c r="J317" s="76" t="str">
        <f>IF(OR($B317="",$G317="",$G317&lt;=0),"",COUNTIFS($B$6:$B317,$B317,$G$6:$G317,"&gt;0"))</f>
        <v/>
      </c>
      <c r="K317" s="75" t="str">
        <f>IF($J317="","",INDEX(الجزاءات!$E$6:$H$9,MATCH($G317,الجزاءات!$B$6:$B$9,1),MIN($J317,4)))</f>
        <v/>
      </c>
      <c r="L317" s="45"/>
    </row>
    <row r="318" spans="1:12" ht="15.75" customHeight="1" x14ac:dyDescent="0.35">
      <c r="A318" s="31"/>
      <c r="B318" s="30"/>
      <c r="C318" s="72" t="str">
        <f>IF($B318="","",IFERROR(INDEX(الموظفون!$C$6:$C$45,MATCH($B318,الموظفون!$B$6:$B$45,0)),""))</f>
        <v/>
      </c>
      <c r="D318" s="73" t="str">
        <f>IF($B318="","",IFERROR(INDEX(الموظفون!$M$6:$M$45,MATCH($B318,الموظفون!$B$6:$B$45,0)),""))</f>
        <v/>
      </c>
      <c r="E318" s="49"/>
      <c r="F318" s="49"/>
      <c r="G318" s="74" t="str">
        <f t="shared" si="8"/>
        <v/>
      </c>
      <c r="H318" s="75" t="str">
        <f t="shared" si="9"/>
        <v/>
      </c>
      <c r="I318" s="75" t="str">
        <f>IF($H318="","",MAX(0,ROUND($H318-الإعدادات!$C$24-الإعدادات!$C$27,2)))</f>
        <v/>
      </c>
      <c r="J318" s="76" t="str">
        <f>IF(OR($B318="",$G318="",$G318&lt;=0),"",COUNTIFS($B$6:$B318,$B318,$G$6:$G318,"&gt;0"))</f>
        <v/>
      </c>
      <c r="K318" s="75" t="str">
        <f>IF($J318="","",INDEX(الجزاءات!$E$6:$H$9,MATCH($G318,الجزاءات!$B$6:$B$9,1),MIN($J318,4)))</f>
        <v/>
      </c>
      <c r="L318" s="45"/>
    </row>
    <row r="319" spans="1:12" ht="15.75" customHeight="1" x14ac:dyDescent="0.35">
      <c r="A319" s="31"/>
      <c r="B319" s="30"/>
      <c r="C319" s="72" t="str">
        <f>IF($B319="","",IFERROR(INDEX(الموظفون!$C$6:$C$45,MATCH($B319,الموظفون!$B$6:$B$45,0)),""))</f>
        <v/>
      </c>
      <c r="D319" s="73" t="str">
        <f>IF($B319="","",IFERROR(INDEX(الموظفون!$M$6:$M$45,MATCH($B319,الموظفون!$B$6:$B$45,0)),""))</f>
        <v/>
      </c>
      <c r="E319" s="49"/>
      <c r="F319" s="49"/>
      <c r="G319" s="74" t="str">
        <f t="shared" si="8"/>
        <v/>
      </c>
      <c r="H319" s="75" t="str">
        <f t="shared" si="9"/>
        <v/>
      </c>
      <c r="I319" s="75" t="str">
        <f>IF($H319="","",MAX(0,ROUND($H319-الإعدادات!$C$24-الإعدادات!$C$27,2)))</f>
        <v/>
      </c>
      <c r="J319" s="76" t="str">
        <f>IF(OR($B319="",$G319="",$G319&lt;=0),"",COUNTIFS($B$6:$B319,$B319,$G$6:$G319,"&gt;0"))</f>
        <v/>
      </c>
      <c r="K319" s="75" t="str">
        <f>IF($J319="","",INDEX(الجزاءات!$E$6:$H$9,MATCH($G319,الجزاءات!$B$6:$B$9,1),MIN($J319,4)))</f>
        <v/>
      </c>
      <c r="L319" s="45"/>
    </row>
    <row r="320" spans="1:12" ht="15.75" customHeight="1" x14ac:dyDescent="0.35">
      <c r="A320" s="31"/>
      <c r="B320" s="30"/>
      <c r="C320" s="72" t="str">
        <f>IF($B320="","",IFERROR(INDEX(الموظفون!$C$6:$C$45,MATCH($B320,الموظفون!$B$6:$B$45,0)),""))</f>
        <v/>
      </c>
      <c r="D320" s="73" t="str">
        <f>IF($B320="","",IFERROR(INDEX(الموظفون!$M$6:$M$45,MATCH($B320,الموظفون!$B$6:$B$45,0)),""))</f>
        <v/>
      </c>
      <c r="E320" s="49"/>
      <c r="F320" s="49"/>
      <c r="G320" s="74" t="str">
        <f t="shared" si="8"/>
        <v/>
      </c>
      <c r="H320" s="75" t="str">
        <f t="shared" si="9"/>
        <v/>
      </c>
      <c r="I320" s="75" t="str">
        <f>IF($H320="","",MAX(0,ROUND($H320-الإعدادات!$C$24-الإعدادات!$C$27,2)))</f>
        <v/>
      </c>
      <c r="J320" s="76" t="str">
        <f>IF(OR($B320="",$G320="",$G320&lt;=0),"",COUNTIFS($B$6:$B320,$B320,$G$6:$G320,"&gt;0"))</f>
        <v/>
      </c>
      <c r="K320" s="75" t="str">
        <f>IF($J320="","",INDEX(الجزاءات!$E$6:$H$9,MATCH($G320,الجزاءات!$B$6:$B$9,1),MIN($J320,4)))</f>
        <v/>
      </c>
      <c r="L320" s="45"/>
    </row>
    <row r="321" spans="1:12" ht="15.75" customHeight="1" x14ac:dyDescent="0.35">
      <c r="A321" s="31"/>
      <c r="B321" s="30"/>
      <c r="C321" s="72" t="str">
        <f>IF($B321="","",IFERROR(INDEX(الموظفون!$C$6:$C$45,MATCH($B321,الموظفون!$B$6:$B$45,0)),""))</f>
        <v/>
      </c>
      <c r="D321" s="73" t="str">
        <f>IF($B321="","",IFERROR(INDEX(الموظفون!$M$6:$M$45,MATCH($B321,الموظفون!$B$6:$B$45,0)),""))</f>
        <v/>
      </c>
      <c r="E321" s="49"/>
      <c r="F321" s="49"/>
      <c r="G321" s="74" t="str">
        <f t="shared" si="8"/>
        <v/>
      </c>
      <c r="H321" s="75" t="str">
        <f t="shared" si="9"/>
        <v/>
      </c>
      <c r="I321" s="75" t="str">
        <f>IF($H321="","",MAX(0,ROUND($H321-الإعدادات!$C$24-الإعدادات!$C$27,2)))</f>
        <v/>
      </c>
      <c r="J321" s="76" t="str">
        <f>IF(OR($B321="",$G321="",$G321&lt;=0),"",COUNTIFS($B$6:$B321,$B321,$G$6:$G321,"&gt;0"))</f>
        <v/>
      </c>
      <c r="K321" s="75" t="str">
        <f>IF($J321="","",INDEX(الجزاءات!$E$6:$H$9,MATCH($G321,الجزاءات!$B$6:$B$9,1),MIN($J321,4)))</f>
        <v/>
      </c>
      <c r="L321" s="45"/>
    </row>
    <row r="322" spans="1:12" ht="15.75" customHeight="1" x14ac:dyDescent="0.35">
      <c r="A322" s="31"/>
      <c r="B322" s="30"/>
      <c r="C322" s="72" t="str">
        <f>IF($B322="","",IFERROR(INDEX(الموظفون!$C$6:$C$45,MATCH($B322,الموظفون!$B$6:$B$45,0)),""))</f>
        <v/>
      </c>
      <c r="D322" s="73" t="str">
        <f>IF($B322="","",IFERROR(INDEX(الموظفون!$M$6:$M$45,MATCH($B322,الموظفون!$B$6:$B$45,0)),""))</f>
        <v/>
      </c>
      <c r="E322" s="49"/>
      <c r="F322" s="49"/>
      <c r="G322" s="74" t="str">
        <f t="shared" si="8"/>
        <v/>
      </c>
      <c r="H322" s="75" t="str">
        <f t="shared" si="9"/>
        <v/>
      </c>
      <c r="I322" s="75" t="str">
        <f>IF($H322="","",MAX(0,ROUND($H322-الإعدادات!$C$24-الإعدادات!$C$27,2)))</f>
        <v/>
      </c>
      <c r="J322" s="76" t="str">
        <f>IF(OR($B322="",$G322="",$G322&lt;=0),"",COUNTIFS($B$6:$B322,$B322,$G$6:$G322,"&gt;0"))</f>
        <v/>
      </c>
      <c r="K322" s="75" t="str">
        <f>IF($J322="","",INDEX(الجزاءات!$E$6:$H$9,MATCH($G322,الجزاءات!$B$6:$B$9,1),MIN($J322,4)))</f>
        <v/>
      </c>
      <c r="L322" s="45"/>
    </row>
    <row r="323" spans="1:12" ht="15.75" customHeight="1" x14ac:dyDescent="0.35">
      <c r="A323" s="31"/>
      <c r="B323" s="30"/>
      <c r="C323" s="72" t="str">
        <f>IF($B323="","",IFERROR(INDEX(الموظفون!$C$6:$C$45,MATCH($B323,الموظفون!$B$6:$B$45,0)),""))</f>
        <v/>
      </c>
      <c r="D323" s="73" t="str">
        <f>IF($B323="","",IFERROR(INDEX(الموظفون!$M$6:$M$45,MATCH($B323,الموظفون!$B$6:$B$45,0)),""))</f>
        <v/>
      </c>
      <c r="E323" s="49"/>
      <c r="F323" s="49"/>
      <c r="G323" s="74" t="str">
        <f t="shared" si="8"/>
        <v/>
      </c>
      <c r="H323" s="75" t="str">
        <f t="shared" si="9"/>
        <v/>
      </c>
      <c r="I323" s="75" t="str">
        <f>IF($H323="","",MAX(0,ROUND($H323-الإعدادات!$C$24-الإعدادات!$C$27,2)))</f>
        <v/>
      </c>
      <c r="J323" s="76" t="str">
        <f>IF(OR($B323="",$G323="",$G323&lt;=0),"",COUNTIFS($B$6:$B323,$B323,$G$6:$G323,"&gt;0"))</f>
        <v/>
      </c>
      <c r="K323" s="75" t="str">
        <f>IF($J323="","",INDEX(الجزاءات!$E$6:$H$9,MATCH($G323,الجزاءات!$B$6:$B$9,1),MIN($J323,4)))</f>
        <v/>
      </c>
      <c r="L323" s="45"/>
    </row>
    <row r="324" spans="1:12" ht="15.75" customHeight="1" x14ac:dyDescent="0.35">
      <c r="A324" s="31"/>
      <c r="B324" s="30"/>
      <c r="C324" s="72" t="str">
        <f>IF($B324="","",IFERROR(INDEX(الموظفون!$C$6:$C$45,MATCH($B324,الموظفون!$B$6:$B$45,0)),""))</f>
        <v/>
      </c>
      <c r="D324" s="73" t="str">
        <f>IF($B324="","",IFERROR(INDEX(الموظفون!$M$6:$M$45,MATCH($B324,الموظفون!$B$6:$B$45,0)),""))</f>
        <v/>
      </c>
      <c r="E324" s="49"/>
      <c r="F324" s="49"/>
      <c r="G324" s="74" t="str">
        <f t="shared" si="8"/>
        <v/>
      </c>
      <c r="H324" s="75" t="str">
        <f t="shared" si="9"/>
        <v/>
      </c>
      <c r="I324" s="75" t="str">
        <f>IF($H324="","",MAX(0,ROUND($H324-الإعدادات!$C$24-الإعدادات!$C$27,2)))</f>
        <v/>
      </c>
      <c r="J324" s="76" t="str">
        <f>IF(OR($B324="",$G324="",$G324&lt;=0),"",COUNTIFS($B$6:$B324,$B324,$G$6:$G324,"&gt;0"))</f>
        <v/>
      </c>
      <c r="K324" s="75" t="str">
        <f>IF($J324="","",INDEX(الجزاءات!$E$6:$H$9,MATCH($G324,الجزاءات!$B$6:$B$9,1),MIN($J324,4)))</f>
        <v/>
      </c>
      <c r="L324" s="45"/>
    </row>
    <row r="325" spans="1:12" ht="15.75" customHeight="1" x14ac:dyDescent="0.35">
      <c r="A325" s="31"/>
      <c r="B325" s="30"/>
      <c r="C325" s="72" t="str">
        <f>IF($B325="","",IFERROR(INDEX(الموظفون!$C$6:$C$45,MATCH($B325,الموظفون!$B$6:$B$45,0)),""))</f>
        <v/>
      </c>
      <c r="D325" s="73" t="str">
        <f>IF($B325="","",IFERROR(INDEX(الموظفون!$M$6:$M$45,MATCH($B325,الموظفون!$B$6:$B$45,0)),""))</f>
        <v/>
      </c>
      <c r="E325" s="49"/>
      <c r="F325" s="49"/>
      <c r="G325" s="74" t="str">
        <f t="shared" si="8"/>
        <v/>
      </c>
      <c r="H325" s="75" t="str">
        <f t="shared" si="9"/>
        <v/>
      </c>
      <c r="I325" s="75" t="str">
        <f>IF($H325="","",MAX(0,ROUND($H325-الإعدادات!$C$24-الإعدادات!$C$27,2)))</f>
        <v/>
      </c>
      <c r="J325" s="76" t="str">
        <f>IF(OR($B325="",$G325="",$G325&lt;=0),"",COUNTIFS($B$6:$B325,$B325,$G$6:$G325,"&gt;0"))</f>
        <v/>
      </c>
      <c r="K325" s="75" t="str">
        <f>IF($J325="","",INDEX(الجزاءات!$E$6:$H$9,MATCH($G325,الجزاءات!$B$6:$B$9,1),MIN($J325,4)))</f>
        <v/>
      </c>
      <c r="L325" s="45"/>
    </row>
    <row r="326" spans="1:12" ht="15.75" customHeight="1" x14ac:dyDescent="0.35">
      <c r="A326" s="31"/>
      <c r="B326" s="30"/>
      <c r="C326" s="72" t="str">
        <f>IF($B326="","",IFERROR(INDEX(الموظفون!$C$6:$C$45,MATCH($B326,الموظفون!$B$6:$B$45,0)),""))</f>
        <v/>
      </c>
      <c r="D326" s="73" t="str">
        <f>IF($B326="","",IFERROR(INDEX(الموظفون!$M$6:$M$45,MATCH($B326,الموظفون!$B$6:$B$45,0)),""))</f>
        <v/>
      </c>
      <c r="E326" s="49"/>
      <c r="F326" s="49"/>
      <c r="G326" s="74" t="str">
        <f t="shared" ref="G326:G389" si="10">IF(OR($B326="",$E326="",$D326=""),"",MAX(0,ROUND(($E326-$D326)*1440,0)))</f>
        <v/>
      </c>
      <c r="H326" s="75" t="str">
        <f t="shared" ref="H326:H389" si="11">IF(OR($E326="",$F326=""),"",ROUND(($F326-$E326)*24,2))</f>
        <v/>
      </c>
      <c r="I326" s="75" t="str">
        <f>IF($H326="","",MAX(0,ROUND($H326-الإعدادات!$C$24-الإعدادات!$C$27,2)))</f>
        <v/>
      </c>
      <c r="J326" s="76" t="str">
        <f>IF(OR($B326="",$G326="",$G326&lt;=0),"",COUNTIFS($B$6:$B326,$B326,$G$6:$G326,"&gt;0"))</f>
        <v/>
      </c>
      <c r="K326" s="75" t="str">
        <f>IF($J326="","",INDEX(الجزاءات!$E$6:$H$9,MATCH($G326,الجزاءات!$B$6:$B$9,1),MIN($J326,4)))</f>
        <v/>
      </c>
      <c r="L326" s="45"/>
    </row>
    <row r="327" spans="1:12" ht="15.75" customHeight="1" x14ac:dyDescent="0.35">
      <c r="A327" s="31"/>
      <c r="B327" s="30"/>
      <c r="C327" s="72" t="str">
        <f>IF($B327="","",IFERROR(INDEX(الموظفون!$C$6:$C$45,MATCH($B327,الموظفون!$B$6:$B$45,0)),""))</f>
        <v/>
      </c>
      <c r="D327" s="73" t="str">
        <f>IF($B327="","",IFERROR(INDEX(الموظفون!$M$6:$M$45,MATCH($B327,الموظفون!$B$6:$B$45,0)),""))</f>
        <v/>
      </c>
      <c r="E327" s="49"/>
      <c r="F327" s="49"/>
      <c r="G327" s="74" t="str">
        <f t="shared" si="10"/>
        <v/>
      </c>
      <c r="H327" s="75" t="str">
        <f t="shared" si="11"/>
        <v/>
      </c>
      <c r="I327" s="75" t="str">
        <f>IF($H327="","",MAX(0,ROUND($H327-الإعدادات!$C$24-الإعدادات!$C$27,2)))</f>
        <v/>
      </c>
      <c r="J327" s="76" t="str">
        <f>IF(OR($B327="",$G327="",$G327&lt;=0),"",COUNTIFS($B$6:$B327,$B327,$G$6:$G327,"&gt;0"))</f>
        <v/>
      </c>
      <c r="K327" s="75" t="str">
        <f>IF($J327="","",INDEX(الجزاءات!$E$6:$H$9,MATCH($G327,الجزاءات!$B$6:$B$9,1),MIN($J327,4)))</f>
        <v/>
      </c>
      <c r="L327" s="45"/>
    </row>
    <row r="328" spans="1:12" ht="15.75" customHeight="1" x14ac:dyDescent="0.35">
      <c r="A328" s="31"/>
      <c r="B328" s="30"/>
      <c r="C328" s="72" t="str">
        <f>IF($B328="","",IFERROR(INDEX(الموظفون!$C$6:$C$45,MATCH($B328,الموظفون!$B$6:$B$45,0)),""))</f>
        <v/>
      </c>
      <c r="D328" s="73" t="str">
        <f>IF($B328="","",IFERROR(INDEX(الموظفون!$M$6:$M$45,MATCH($B328,الموظفون!$B$6:$B$45,0)),""))</f>
        <v/>
      </c>
      <c r="E328" s="49"/>
      <c r="F328" s="49"/>
      <c r="G328" s="74" t="str">
        <f t="shared" si="10"/>
        <v/>
      </c>
      <c r="H328" s="75" t="str">
        <f t="shared" si="11"/>
        <v/>
      </c>
      <c r="I328" s="75" t="str">
        <f>IF($H328="","",MAX(0,ROUND($H328-الإعدادات!$C$24-الإعدادات!$C$27,2)))</f>
        <v/>
      </c>
      <c r="J328" s="76" t="str">
        <f>IF(OR($B328="",$G328="",$G328&lt;=0),"",COUNTIFS($B$6:$B328,$B328,$G$6:$G328,"&gt;0"))</f>
        <v/>
      </c>
      <c r="K328" s="75" t="str">
        <f>IF($J328="","",INDEX(الجزاءات!$E$6:$H$9,MATCH($G328,الجزاءات!$B$6:$B$9,1),MIN($J328,4)))</f>
        <v/>
      </c>
      <c r="L328" s="45"/>
    </row>
    <row r="329" spans="1:12" ht="15.75" customHeight="1" x14ac:dyDescent="0.35">
      <c r="A329" s="31"/>
      <c r="B329" s="30"/>
      <c r="C329" s="72" t="str">
        <f>IF($B329="","",IFERROR(INDEX(الموظفون!$C$6:$C$45,MATCH($B329,الموظفون!$B$6:$B$45,0)),""))</f>
        <v/>
      </c>
      <c r="D329" s="73" t="str">
        <f>IF($B329="","",IFERROR(INDEX(الموظفون!$M$6:$M$45,MATCH($B329,الموظفون!$B$6:$B$45,0)),""))</f>
        <v/>
      </c>
      <c r="E329" s="49"/>
      <c r="F329" s="49"/>
      <c r="G329" s="74" t="str">
        <f t="shared" si="10"/>
        <v/>
      </c>
      <c r="H329" s="75" t="str">
        <f t="shared" si="11"/>
        <v/>
      </c>
      <c r="I329" s="75" t="str">
        <f>IF($H329="","",MAX(0,ROUND($H329-الإعدادات!$C$24-الإعدادات!$C$27,2)))</f>
        <v/>
      </c>
      <c r="J329" s="76" t="str">
        <f>IF(OR($B329="",$G329="",$G329&lt;=0),"",COUNTIFS($B$6:$B329,$B329,$G$6:$G329,"&gt;0"))</f>
        <v/>
      </c>
      <c r="K329" s="75" t="str">
        <f>IF($J329="","",INDEX(الجزاءات!$E$6:$H$9,MATCH($G329,الجزاءات!$B$6:$B$9,1),MIN($J329,4)))</f>
        <v/>
      </c>
      <c r="L329" s="45"/>
    </row>
    <row r="330" spans="1:12" ht="15.75" customHeight="1" x14ac:dyDescent="0.35">
      <c r="A330" s="31"/>
      <c r="B330" s="30"/>
      <c r="C330" s="72" t="str">
        <f>IF($B330="","",IFERROR(INDEX(الموظفون!$C$6:$C$45,MATCH($B330,الموظفون!$B$6:$B$45,0)),""))</f>
        <v/>
      </c>
      <c r="D330" s="73" t="str">
        <f>IF($B330="","",IFERROR(INDEX(الموظفون!$M$6:$M$45,MATCH($B330,الموظفون!$B$6:$B$45,0)),""))</f>
        <v/>
      </c>
      <c r="E330" s="49"/>
      <c r="F330" s="49"/>
      <c r="G330" s="74" t="str">
        <f t="shared" si="10"/>
        <v/>
      </c>
      <c r="H330" s="75" t="str">
        <f t="shared" si="11"/>
        <v/>
      </c>
      <c r="I330" s="75" t="str">
        <f>IF($H330="","",MAX(0,ROUND($H330-الإعدادات!$C$24-الإعدادات!$C$27,2)))</f>
        <v/>
      </c>
      <c r="J330" s="76" t="str">
        <f>IF(OR($B330="",$G330="",$G330&lt;=0),"",COUNTIFS($B$6:$B330,$B330,$G$6:$G330,"&gt;0"))</f>
        <v/>
      </c>
      <c r="K330" s="75" t="str">
        <f>IF($J330="","",INDEX(الجزاءات!$E$6:$H$9,MATCH($G330,الجزاءات!$B$6:$B$9,1),MIN($J330,4)))</f>
        <v/>
      </c>
      <c r="L330" s="45"/>
    </row>
    <row r="331" spans="1:12" ht="15.75" customHeight="1" x14ac:dyDescent="0.35">
      <c r="A331" s="31"/>
      <c r="B331" s="30"/>
      <c r="C331" s="72" t="str">
        <f>IF($B331="","",IFERROR(INDEX(الموظفون!$C$6:$C$45,MATCH($B331,الموظفون!$B$6:$B$45,0)),""))</f>
        <v/>
      </c>
      <c r="D331" s="73" t="str">
        <f>IF($B331="","",IFERROR(INDEX(الموظفون!$M$6:$M$45,MATCH($B331,الموظفون!$B$6:$B$45,0)),""))</f>
        <v/>
      </c>
      <c r="E331" s="49"/>
      <c r="F331" s="49"/>
      <c r="G331" s="74" t="str">
        <f t="shared" si="10"/>
        <v/>
      </c>
      <c r="H331" s="75" t="str">
        <f t="shared" si="11"/>
        <v/>
      </c>
      <c r="I331" s="75" t="str">
        <f>IF($H331="","",MAX(0,ROUND($H331-الإعدادات!$C$24-الإعدادات!$C$27,2)))</f>
        <v/>
      </c>
      <c r="J331" s="76" t="str">
        <f>IF(OR($B331="",$G331="",$G331&lt;=0),"",COUNTIFS($B$6:$B331,$B331,$G$6:$G331,"&gt;0"))</f>
        <v/>
      </c>
      <c r="K331" s="75" t="str">
        <f>IF($J331="","",INDEX(الجزاءات!$E$6:$H$9,MATCH($G331,الجزاءات!$B$6:$B$9,1),MIN($J331,4)))</f>
        <v/>
      </c>
      <c r="L331" s="45"/>
    </row>
    <row r="332" spans="1:12" ht="15.75" customHeight="1" x14ac:dyDescent="0.35">
      <c r="A332" s="31"/>
      <c r="B332" s="30"/>
      <c r="C332" s="72" t="str">
        <f>IF($B332="","",IFERROR(INDEX(الموظفون!$C$6:$C$45,MATCH($B332,الموظفون!$B$6:$B$45,0)),""))</f>
        <v/>
      </c>
      <c r="D332" s="73" t="str">
        <f>IF($B332="","",IFERROR(INDEX(الموظفون!$M$6:$M$45,MATCH($B332,الموظفون!$B$6:$B$45,0)),""))</f>
        <v/>
      </c>
      <c r="E332" s="49"/>
      <c r="F332" s="49"/>
      <c r="G332" s="74" t="str">
        <f t="shared" si="10"/>
        <v/>
      </c>
      <c r="H332" s="75" t="str">
        <f t="shared" si="11"/>
        <v/>
      </c>
      <c r="I332" s="75" t="str">
        <f>IF($H332="","",MAX(0,ROUND($H332-الإعدادات!$C$24-الإعدادات!$C$27,2)))</f>
        <v/>
      </c>
      <c r="J332" s="76" t="str">
        <f>IF(OR($B332="",$G332="",$G332&lt;=0),"",COUNTIFS($B$6:$B332,$B332,$G$6:$G332,"&gt;0"))</f>
        <v/>
      </c>
      <c r="K332" s="75" t="str">
        <f>IF($J332="","",INDEX(الجزاءات!$E$6:$H$9,MATCH($G332,الجزاءات!$B$6:$B$9,1),MIN($J332,4)))</f>
        <v/>
      </c>
      <c r="L332" s="45"/>
    </row>
    <row r="333" spans="1:12" ht="15.75" customHeight="1" x14ac:dyDescent="0.35">
      <c r="A333" s="31"/>
      <c r="B333" s="30"/>
      <c r="C333" s="72" t="str">
        <f>IF($B333="","",IFERROR(INDEX(الموظفون!$C$6:$C$45,MATCH($B333,الموظفون!$B$6:$B$45,0)),""))</f>
        <v/>
      </c>
      <c r="D333" s="73" t="str">
        <f>IF($B333="","",IFERROR(INDEX(الموظفون!$M$6:$M$45,MATCH($B333,الموظفون!$B$6:$B$45,0)),""))</f>
        <v/>
      </c>
      <c r="E333" s="49"/>
      <c r="F333" s="49"/>
      <c r="G333" s="74" t="str">
        <f t="shared" si="10"/>
        <v/>
      </c>
      <c r="H333" s="75" t="str">
        <f t="shared" si="11"/>
        <v/>
      </c>
      <c r="I333" s="75" t="str">
        <f>IF($H333="","",MAX(0,ROUND($H333-الإعدادات!$C$24-الإعدادات!$C$27,2)))</f>
        <v/>
      </c>
      <c r="J333" s="76" t="str">
        <f>IF(OR($B333="",$G333="",$G333&lt;=0),"",COUNTIFS($B$6:$B333,$B333,$G$6:$G333,"&gt;0"))</f>
        <v/>
      </c>
      <c r="K333" s="75" t="str">
        <f>IF($J333="","",INDEX(الجزاءات!$E$6:$H$9,MATCH($G333,الجزاءات!$B$6:$B$9,1),MIN($J333,4)))</f>
        <v/>
      </c>
      <c r="L333" s="45"/>
    </row>
    <row r="334" spans="1:12" ht="15.75" customHeight="1" x14ac:dyDescent="0.35">
      <c r="A334" s="31"/>
      <c r="B334" s="30"/>
      <c r="C334" s="72" t="str">
        <f>IF($B334="","",IFERROR(INDEX(الموظفون!$C$6:$C$45,MATCH($B334,الموظفون!$B$6:$B$45,0)),""))</f>
        <v/>
      </c>
      <c r="D334" s="73" t="str">
        <f>IF($B334="","",IFERROR(INDEX(الموظفون!$M$6:$M$45,MATCH($B334,الموظفون!$B$6:$B$45,0)),""))</f>
        <v/>
      </c>
      <c r="E334" s="49"/>
      <c r="F334" s="49"/>
      <c r="G334" s="74" t="str">
        <f t="shared" si="10"/>
        <v/>
      </c>
      <c r="H334" s="75" t="str">
        <f t="shared" si="11"/>
        <v/>
      </c>
      <c r="I334" s="75" t="str">
        <f>IF($H334="","",MAX(0,ROUND($H334-الإعدادات!$C$24-الإعدادات!$C$27,2)))</f>
        <v/>
      </c>
      <c r="J334" s="76" t="str">
        <f>IF(OR($B334="",$G334="",$G334&lt;=0),"",COUNTIFS($B$6:$B334,$B334,$G$6:$G334,"&gt;0"))</f>
        <v/>
      </c>
      <c r="K334" s="75" t="str">
        <f>IF($J334="","",INDEX(الجزاءات!$E$6:$H$9,MATCH($G334,الجزاءات!$B$6:$B$9,1),MIN($J334,4)))</f>
        <v/>
      </c>
      <c r="L334" s="45"/>
    </row>
    <row r="335" spans="1:12" ht="15.75" customHeight="1" x14ac:dyDescent="0.35">
      <c r="A335" s="31"/>
      <c r="B335" s="30"/>
      <c r="C335" s="72" t="str">
        <f>IF($B335="","",IFERROR(INDEX(الموظفون!$C$6:$C$45,MATCH($B335,الموظفون!$B$6:$B$45,0)),""))</f>
        <v/>
      </c>
      <c r="D335" s="73" t="str">
        <f>IF($B335="","",IFERROR(INDEX(الموظفون!$M$6:$M$45,MATCH($B335,الموظفون!$B$6:$B$45,0)),""))</f>
        <v/>
      </c>
      <c r="E335" s="49"/>
      <c r="F335" s="49"/>
      <c r="G335" s="74" t="str">
        <f t="shared" si="10"/>
        <v/>
      </c>
      <c r="H335" s="75" t="str">
        <f t="shared" si="11"/>
        <v/>
      </c>
      <c r="I335" s="75" t="str">
        <f>IF($H335="","",MAX(0,ROUND($H335-الإعدادات!$C$24-الإعدادات!$C$27,2)))</f>
        <v/>
      </c>
      <c r="J335" s="76" t="str">
        <f>IF(OR($B335="",$G335="",$G335&lt;=0),"",COUNTIFS($B$6:$B335,$B335,$G$6:$G335,"&gt;0"))</f>
        <v/>
      </c>
      <c r="K335" s="75" t="str">
        <f>IF($J335="","",INDEX(الجزاءات!$E$6:$H$9,MATCH($G335,الجزاءات!$B$6:$B$9,1),MIN($J335,4)))</f>
        <v/>
      </c>
      <c r="L335" s="45"/>
    </row>
    <row r="336" spans="1:12" ht="15.75" customHeight="1" x14ac:dyDescent="0.35">
      <c r="A336" s="31"/>
      <c r="B336" s="30"/>
      <c r="C336" s="72" t="str">
        <f>IF($B336="","",IFERROR(INDEX(الموظفون!$C$6:$C$45,MATCH($B336,الموظفون!$B$6:$B$45,0)),""))</f>
        <v/>
      </c>
      <c r="D336" s="73" t="str">
        <f>IF($B336="","",IFERROR(INDEX(الموظفون!$M$6:$M$45,MATCH($B336,الموظفون!$B$6:$B$45,0)),""))</f>
        <v/>
      </c>
      <c r="E336" s="49"/>
      <c r="F336" s="49"/>
      <c r="G336" s="74" t="str">
        <f t="shared" si="10"/>
        <v/>
      </c>
      <c r="H336" s="75" t="str">
        <f t="shared" si="11"/>
        <v/>
      </c>
      <c r="I336" s="75" t="str">
        <f>IF($H336="","",MAX(0,ROUND($H336-الإعدادات!$C$24-الإعدادات!$C$27,2)))</f>
        <v/>
      </c>
      <c r="J336" s="76" t="str">
        <f>IF(OR($B336="",$G336="",$G336&lt;=0),"",COUNTIFS($B$6:$B336,$B336,$G$6:$G336,"&gt;0"))</f>
        <v/>
      </c>
      <c r="K336" s="75" t="str">
        <f>IF($J336="","",INDEX(الجزاءات!$E$6:$H$9,MATCH($G336,الجزاءات!$B$6:$B$9,1),MIN($J336,4)))</f>
        <v/>
      </c>
      <c r="L336" s="45"/>
    </row>
    <row r="337" spans="1:12" ht="15.75" customHeight="1" x14ac:dyDescent="0.35">
      <c r="A337" s="31"/>
      <c r="B337" s="30"/>
      <c r="C337" s="72" t="str">
        <f>IF($B337="","",IFERROR(INDEX(الموظفون!$C$6:$C$45,MATCH($B337,الموظفون!$B$6:$B$45,0)),""))</f>
        <v/>
      </c>
      <c r="D337" s="73" t="str">
        <f>IF($B337="","",IFERROR(INDEX(الموظفون!$M$6:$M$45,MATCH($B337,الموظفون!$B$6:$B$45,0)),""))</f>
        <v/>
      </c>
      <c r="E337" s="49"/>
      <c r="F337" s="49"/>
      <c r="G337" s="74" t="str">
        <f t="shared" si="10"/>
        <v/>
      </c>
      <c r="H337" s="75" t="str">
        <f t="shared" si="11"/>
        <v/>
      </c>
      <c r="I337" s="75" t="str">
        <f>IF($H337="","",MAX(0,ROUND($H337-الإعدادات!$C$24-الإعدادات!$C$27,2)))</f>
        <v/>
      </c>
      <c r="J337" s="76" t="str">
        <f>IF(OR($B337="",$G337="",$G337&lt;=0),"",COUNTIFS($B$6:$B337,$B337,$G$6:$G337,"&gt;0"))</f>
        <v/>
      </c>
      <c r="K337" s="75" t="str">
        <f>IF($J337="","",INDEX(الجزاءات!$E$6:$H$9,MATCH($G337,الجزاءات!$B$6:$B$9,1),MIN($J337,4)))</f>
        <v/>
      </c>
      <c r="L337" s="45"/>
    </row>
    <row r="338" spans="1:12" ht="15.75" customHeight="1" x14ac:dyDescent="0.35">
      <c r="A338" s="31"/>
      <c r="B338" s="30"/>
      <c r="C338" s="72" t="str">
        <f>IF($B338="","",IFERROR(INDEX(الموظفون!$C$6:$C$45,MATCH($B338,الموظفون!$B$6:$B$45,0)),""))</f>
        <v/>
      </c>
      <c r="D338" s="73" t="str">
        <f>IF($B338="","",IFERROR(INDEX(الموظفون!$M$6:$M$45,MATCH($B338,الموظفون!$B$6:$B$45,0)),""))</f>
        <v/>
      </c>
      <c r="E338" s="49"/>
      <c r="F338" s="49"/>
      <c r="G338" s="74" t="str">
        <f t="shared" si="10"/>
        <v/>
      </c>
      <c r="H338" s="75" t="str">
        <f t="shared" si="11"/>
        <v/>
      </c>
      <c r="I338" s="75" t="str">
        <f>IF($H338="","",MAX(0,ROUND($H338-الإعدادات!$C$24-الإعدادات!$C$27,2)))</f>
        <v/>
      </c>
      <c r="J338" s="76" t="str">
        <f>IF(OR($B338="",$G338="",$G338&lt;=0),"",COUNTIFS($B$6:$B338,$B338,$G$6:$G338,"&gt;0"))</f>
        <v/>
      </c>
      <c r="K338" s="75" t="str">
        <f>IF($J338="","",INDEX(الجزاءات!$E$6:$H$9,MATCH($G338,الجزاءات!$B$6:$B$9,1),MIN($J338,4)))</f>
        <v/>
      </c>
      <c r="L338" s="45"/>
    </row>
    <row r="339" spans="1:12" ht="15.75" customHeight="1" x14ac:dyDescent="0.35">
      <c r="A339" s="31"/>
      <c r="B339" s="30"/>
      <c r="C339" s="72" t="str">
        <f>IF($B339="","",IFERROR(INDEX(الموظفون!$C$6:$C$45,MATCH($B339,الموظفون!$B$6:$B$45,0)),""))</f>
        <v/>
      </c>
      <c r="D339" s="73" t="str">
        <f>IF($B339="","",IFERROR(INDEX(الموظفون!$M$6:$M$45,MATCH($B339,الموظفون!$B$6:$B$45,0)),""))</f>
        <v/>
      </c>
      <c r="E339" s="49"/>
      <c r="F339" s="49"/>
      <c r="G339" s="74" t="str">
        <f t="shared" si="10"/>
        <v/>
      </c>
      <c r="H339" s="75" t="str">
        <f t="shared" si="11"/>
        <v/>
      </c>
      <c r="I339" s="75" t="str">
        <f>IF($H339="","",MAX(0,ROUND($H339-الإعدادات!$C$24-الإعدادات!$C$27,2)))</f>
        <v/>
      </c>
      <c r="J339" s="76" t="str">
        <f>IF(OR($B339="",$G339="",$G339&lt;=0),"",COUNTIFS($B$6:$B339,$B339,$G$6:$G339,"&gt;0"))</f>
        <v/>
      </c>
      <c r="K339" s="75" t="str">
        <f>IF($J339="","",INDEX(الجزاءات!$E$6:$H$9,MATCH($G339,الجزاءات!$B$6:$B$9,1),MIN($J339,4)))</f>
        <v/>
      </c>
      <c r="L339" s="45"/>
    </row>
    <row r="340" spans="1:12" ht="15.75" customHeight="1" x14ac:dyDescent="0.35">
      <c r="A340" s="31"/>
      <c r="B340" s="30"/>
      <c r="C340" s="72" t="str">
        <f>IF($B340="","",IFERROR(INDEX(الموظفون!$C$6:$C$45,MATCH($B340,الموظفون!$B$6:$B$45,0)),""))</f>
        <v/>
      </c>
      <c r="D340" s="73" t="str">
        <f>IF($B340="","",IFERROR(INDEX(الموظفون!$M$6:$M$45,MATCH($B340,الموظفون!$B$6:$B$45,0)),""))</f>
        <v/>
      </c>
      <c r="E340" s="49"/>
      <c r="F340" s="49"/>
      <c r="G340" s="74" t="str">
        <f t="shared" si="10"/>
        <v/>
      </c>
      <c r="H340" s="75" t="str">
        <f t="shared" si="11"/>
        <v/>
      </c>
      <c r="I340" s="75" t="str">
        <f>IF($H340="","",MAX(0,ROUND($H340-الإعدادات!$C$24-الإعدادات!$C$27,2)))</f>
        <v/>
      </c>
      <c r="J340" s="76" t="str">
        <f>IF(OR($B340="",$G340="",$G340&lt;=0),"",COUNTIFS($B$6:$B340,$B340,$G$6:$G340,"&gt;0"))</f>
        <v/>
      </c>
      <c r="K340" s="75" t="str">
        <f>IF($J340="","",INDEX(الجزاءات!$E$6:$H$9,MATCH($G340,الجزاءات!$B$6:$B$9,1),MIN($J340,4)))</f>
        <v/>
      </c>
      <c r="L340" s="45"/>
    </row>
    <row r="341" spans="1:12" ht="15.75" customHeight="1" x14ac:dyDescent="0.35">
      <c r="A341" s="31"/>
      <c r="B341" s="30"/>
      <c r="C341" s="72" t="str">
        <f>IF($B341="","",IFERROR(INDEX(الموظفون!$C$6:$C$45,MATCH($B341,الموظفون!$B$6:$B$45,0)),""))</f>
        <v/>
      </c>
      <c r="D341" s="73" t="str">
        <f>IF($B341="","",IFERROR(INDEX(الموظفون!$M$6:$M$45,MATCH($B341,الموظفون!$B$6:$B$45,0)),""))</f>
        <v/>
      </c>
      <c r="E341" s="49"/>
      <c r="F341" s="49"/>
      <c r="G341" s="74" t="str">
        <f t="shared" si="10"/>
        <v/>
      </c>
      <c r="H341" s="75" t="str">
        <f t="shared" si="11"/>
        <v/>
      </c>
      <c r="I341" s="75" t="str">
        <f>IF($H341="","",MAX(0,ROUND($H341-الإعدادات!$C$24-الإعدادات!$C$27,2)))</f>
        <v/>
      </c>
      <c r="J341" s="76" t="str">
        <f>IF(OR($B341="",$G341="",$G341&lt;=0),"",COUNTIFS($B$6:$B341,$B341,$G$6:$G341,"&gt;0"))</f>
        <v/>
      </c>
      <c r="K341" s="75" t="str">
        <f>IF($J341="","",INDEX(الجزاءات!$E$6:$H$9,MATCH($G341,الجزاءات!$B$6:$B$9,1),MIN($J341,4)))</f>
        <v/>
      </c>
      <c r="L341" s="45"/>
    </row>
    <row r="342" spans="1:12" ht="15.75" customHeight="1" x14ac:dyDescent="0.35">
      <c r="A342" s="31"/>
      <c r="B342" s="30"/>
      <c r="C342" s="72" t="str">
        <f>IF($B342="","",IFERROR(INDEX(الموظفون!$C$6:$C$45,MATCH($B342,الموظفون!$B$6:$B$45,0)),""))</f>
        <v/>
      </c>
      <c r="D342" s="73" t="str">
        <f>IF($B342="","",IFERROR(INDEX(الموظفون!$M$6:$M$45,MATCH($B342,الموظفون!$B$6:$B$45,0)),""))</f>
        <v/>
      </c>
      <c r="E342" s="49"/>
      <c r="F342" s="49"/>
      <c r="G342" s="74" t="str">
        <f t="shared" si="10"/>
        <v/>
      </c>
      <c r="H342" s="75" t="str">
        <f t="shared" si="11"/>
        <v/>
      </c>
      <c r="I342" s="75" t="str">
        <f>IF($H342="","",MAX(0,ROUND($H342-الإعدادات!$C$24-الإعدادات!$C$27,2)))</f>
        <v/>
      </c>
      <c r="J342" s="76" t="str">
        <f>IF(OR($B342="",$G342="",$G342&lt;=0),"",COUNTIFS($B$6:$B342,$B342,$G$6:$G342,"&gt;0"))</f>
        <v/>
      </c>
      <c r="K342" s="75" t="str">
        <f>IF($J342="","",INDEX(الجزاءات!$E$6:$H$9,MATCH($G342,الجزاءات!$B$6:$B$9,1),MIN($J342,4)))</f>
        <v/>
      </c>
      <c r="L342" s="45"/>
    </row>
    <row r="343" spans="1:12" ht="15.75" customHeight="1" x14ac:dyDescent="0.35">
      <c r="A343" s="31"/>
      <c r="B343" s="30"/>
      <c r="C343" s="72" t="str">
        <f>IF($B343="","",IFERROR(INDEX(الموظفون!$C$6:$C$45,MATCH($B343,الموظفون!$B$6:$B$45,0)),""))</f>
        <v/>
      </c>
      <c r="D343" s="73" t="str">
        <f>IF($B343="","",IFERROR(INDEX(الموظفون!$M$6:$M$45,MATCH($B343,الموظفون!$B$6:$B$45,0)),""))</f>
        <v/>
      </c>
      <c r="E343" s="49"/>
      <c r="F343" s="49"/>
      <c r="G343" s="74" t="str">
        <f t="shared" si="10"/>
        <v/>
      </c>
      <c r="H343" s="75" t="str">
        <f t="shared" si="11"/>
        <v/>
      </c>
      <c r="I343" s="75" t="str">
        <f>IF($H343="","",MAX(0,ROUND($H343-الإعدادات!$C$24-الإعدادات!$C$27,2)))</f>
        <v/>
      </c>
      <c r="J343" s="76" t="str">
        <f>IF(OR($B343="",$G343="",$G343&lt;=0),"",COUNTIFS($B$6:$B343,$B343,$G$6:$G343,"&gt;0"))</f>
        <v/>
      </c>
      <c r="K343" s="75" t="str">
        <f>IF($J343="","",INDEX(الجزاءات!$E$6:$H$9,MATCH($G343,الجزاءات!$B$6:$B$9,1),MIN($J343,4)))</f>
        <v/>
      </c>
      <c r="L343" s="45"/>
    </row>
    <row r="344" spans="1:12" ht="15.75" customHeight="1" x14ac:dyDescent="0.35">
      <c r="A344" s="31"/>
      <c r="B344" s="30"/>
      <c r="C344" s="72" t="str">
        <f>IF($B344="","",IFERROR(INDEX(الموظفون!$C$6:$C$45,MATCH($B344,الموظفون!$B$6:$B$45,0)),""))</f>
        <v/>
      </c>
      <c r="D344" s="73" t="str">
        <f>IF($B344="","",IFERROR(INDEX(الموظفون!$M$6:$M$45,MATCH($B344,الموظفون!$B$6:$B$45,0)),""))</f>
        <v/>
      </c>
      <c r="E344" s="49"/>
      <c r="F344" s="49"/>
      <c r="G344" s="74" t="str">
        <f t="shared" si="10"/>
        <v/>
      </c>
      <c r="H344" s="75" t="str">
        <f t="shared" si="11"/>
        <v/>
      </c>
      <c r="I344" s="75" t="str">
        <f>IF($H344="","",MAX(0,ROUND($H344-الإعدادات!$C$24-الإعدادات!$C$27,2)))</f>
        <v/>
      </c>
      <c r="J344" s="76" t="str">
        <f>IF(OR($B344="",$G344="",$G344&lt;=0),"",COUNTIFS($B$6:$B344,$B344,$G$6:$G344,"&gt;0"))</f>
        <v/>
      </c>
      <c r="K344" s="75" t="str">
        <f>IF($J344="","",INDEX(الجزاءات!$E$6:$H$9,MATCH($G344,الجزاءات!$B$6:$B$9,1),MIN($J344,4)))</f>
        <v/>
      </c>
      <c r="L344" s="45"/>
    </row>
    <row r="345" spans="1:12" ht="15.75" customHeight="1" x14ac:dyDescent="0.35">
      <c r="A345" s="31"/>
      <c r="B345" s="30"/>
      <c r="C345" s="72" t="str">
        <f>IF($B345="","",IFERROR(INDEX(الموظفون!$C$6:$C$45,MATCH($B345,الموظفون!$B$6:$B$45,0)),""))</f>
        <v/>
      </c>
      <c r="D345" s="73" t="str">
        <f>IF($B345="","",IFERROR(INDEX(الموظفون!$M$6:$M$45,MATCH($B345,الموظفون!$B$6:$B$45,0)),""))</f>
        <v/>
      </c>
      <c r="E345" s="49"/>
      <c r="F345" s="49"/>
      <c r="G345" s="74" t="str">
        <f t="shared" si="10"/>
        <v/>
      </c>
      <c r="H345" s="75" t="str">
        <f t="shared" si="11"/>
        <v/>
      </c>
      <c r="I345" s="75" t="str">
        <f>IF($H345="","",MAX(0,ROUND($H345-الإعدادات!$C$24-الإعدادات!$C$27,2)))</f>
        <v/>
      </c>
      <c r="J345" s="76" t="str">
        <f>IF(OR($B345="",$G345="",$G345&lt;=0),"",COUNTIFS($B$6:$B345,$B345,$G$6:$G345,"&gt;0"))</f>
        <v/>
      </c>
      <c r="K345" s="75" t="str">
        <f>IF($J345="","",INDEX(الجزاءات!$E$6:$H$9,MATCH($G345,الجزاءات!$B$6:$B$9,1),MIN($J345,4)))</f>
        <v/>
      </c>
      <c r="L345" s="45"/>
    </row>
    <row r="346" spans="1:12" ht="15.75" customHeight="1" x14ac:dyDescent="0.35">
      <c r="A346" s="31"/>
      <c r="B346" s="30"/>
      <c r="C346" s="72" t="str">
        <f>IF($B346="","",IFERROR(INDEX(الموظفون!$C$6:$C$45,MATCH($B346,الموظفون!$B$6:$B$45,0)),""))</f>
        <v/>
      </c>
      <c r="D346" s="73" t="str">
        <f>IF($B346="","",IFERROR(INDEX(الموظفون!$M$6:$M$45,MATCH($B346,الموظفون!$B$6:$B$45,0)),""))</f>
        <v/>
      </c>
      <c r="E346" s="49"/>
      <c r="F346" s="49"/>
      <c r="G346" s="74" t="str">
        <f t="shared" si="10"/>
        <v/>
      </c>
      <c r="H346" s="75" t="str">
        <f t="shared" si="11"/>
        <v/>
      </c>
      <c r="I346" s="75" t="str">
        <f>IF($H346="","",MAX(0,ROUND($H346-الإعدادات!$C$24-الإعدادات!$C$27,2)))</f>
        <v/>
      </c>
      <c r="J346" s="76" t="str">
        <f>IF(OR($B346="",$G346="",$G346&lt;=0),"",COUNTIFS($B$6:$B346,$B346,$G$6:$G346,"&gt;0"))</f>
        <v/>
      </c>
      <c r="K346" s="75" t="str">
        <f>IF($J346="","",INDEX(الجزاءات!$E$6:$H$9,MATCH($G346,الجزاءات!$B$6:$B$9,1),MIN($J346,4)))</f>
        <v/>
      </c>
      <c r="L346" s="45"/>
    </row>
    <row r="347" spans="1:12" ht="15.75" customHeight="1" x14ac:dyDescent="0.35">
      <c r="A347" s="31"/>
      <c r="B347" s="30"/>
      <c r="C347" s="72" t="str">
        <f>IF($B347="","",IFERROR(INDEX(الموظفون!$C$6:$C$45,MATCH($B347,الموظفون!$B$6:$B$45,0)),""))</f>
        <v/>
      </c>
      <c r="D347" s="73" t="str">
        <f>IF($B347="","",IFERROR(INDEX(الموظفون!$M$6:$M$45,MATCH($B347,الموظفون!$B$6:$B$45,0)),""))</f>
        <v/>
      </c>
      <c r="E347" s="49"/>
      <c r="F347" s="49"/>
      <c r="G347" s="74" t="str">
        <f t="shared" si="10"/>
        <v/>
      </c>
      <c r="H347" s="75" t="str">
        <f t="shared" si="11"/>
        <v/>
      </c>
      <c r="I347" s="75" t="str">
        <f>IF($H347="","",MAX(0,ROUND($H347-الإعدادات!$C$24-الإعدادات!$C$27,2)))</f>
        <v/>
      </c>
      <c r="J347" s="76" t="str">
        <f>IF(OR($B347="",$G347="",$G347&lt;=0),"",COUNTIFS($B$6:$B347,$B347,$G$6:$G347,"&gt;0"))</f>
        <v/>
      </c>
      <c r="K347" s="75" t="str">
        <f>IF($J347="","",INDEX(الجزاءات!$E$6:$H$9,MATCH($G347,الجزاءات!$B$6:$B$9,1),MIN($J347,4)))</f>
        <v/>
      </c>
      <c r="L347" s="45"/>
    </row>
    <row r="348" spans="1:12" ht="15.75" customHeight="1" x14ac:dyDescent="0.35">
      <c r="A348" s="31"/>
      <c r="B348" s="30"/>
      <c r="C348" s="72" t="str">
        <f>IF($B348="","",IFERROR(INDEX(الموظفون!$C$6:$C$45,MATCH($B348,الموظفون!$B$6:$B$45,0)),""))</f>
        <v/>
      </c>
      <c r="D348" s="73" t="str">
        <f>IF($B348="","",IFERROR(INDEX(الموظفون!$M$6:$M$45,MATCH($B348,الموظفون!$B$6:$B$45,0)),""))</f>
        <v/>
      </c>
      <c r="E348" s="49"/>
      <c r="F348" s="49"/>
      <c r="G348" s="74" t="str">
        <f t="shared" si="10"/>
        <v/>
      </c>
      <c r="H348" s="75" t="str">
        <f t="shared" si="11"/>
        <v/>
      </c>
      <c r="I348" s="75" t="str">
        <f>IF($H348="","",MAX(0,ROUND($H348-الإعدادات!$C$24-الإعدادات!$C$27,2)))</f>
        <v/>
      </c>
      <c r="J348" s="76" t="str">
        <f>IF(OR($B348="",$G348="",$G348&lt;=0),"",COUNTIFS($B$6:$B348,$B348,$G$6:$G348,"&gt;0"))</f>
        <v/>
      </c>
      <c r="K348" s="75" t="str">
        <f>IF($J348="","",INDEX(الجزاءات!$E$6:$H$9,MATCH($G348,الجزاءات!$B$6:$B$9,1),MIN($J348,4)))</f>
        <v/>
      </c>
      <c r="L348" s="45"/>
    </row>
    <row r="349" spans="1:12" ht="15.75" customHeight="1" x14ac:dyDescent="0.35">
      <c r="A349" s="31"/>
      <c r="B349" s="30"/>
      <c r="C349" s="72" t="str">
        <f>IF($B349="","",IFERROR(INDEX(الموظفون!$C$6:$C$45,MATCH($B349,الموظفون!$B$6:$B$45,0)),""))</f>
        <v/>
      </c>
      <c r="D349" s="73" t="str">
        <f>IF($B349="","",IFERROR(INDEX(الموظفون!$M$6:$M$45,MATCH($B349,الموظفون!$B$6:$B$45,0)),""))</f>
        <v/>
      </c>
      <c r="E349" s="49"/>
      <c r="F349" s="49"/>
      <c r="G349" s="74" t="str">
        <f t="shared" si="10"/>
        <v/>
      </c>
      <c r="H349" s="75" t="str">
        <f t="shared" si="11"/>
        <v/>
      </c>
      <c r="I349" s="75" t="str">
        <f>IF($H349="","",MAX(0,ROUND($H349-الإعدادات!$C$24-الإعدادات!$C$27,2)))</f>
        <v/>
      </c>
      <c r="J349" s="76" t="str">
        <f>IF(OR($B349="",$G349="",$G349&lt;=0),"",COUNTIFS($B$6:$B349,$B349,$G$6:$G349,"&gt;0"))</f>
        <v/>
      </c>
      <c r="K349" s="75" t="str">
        <f>IF($J349="","",INDEX(الجزاءات!$E$6:$H$9,MATCH($G349,الجزاءات!$B$6:$B$9,1),MIN($J349,4)))</f>
        <v/>
      </c>
      <c r="L349" s="45"/>
    </row>
    <row r="350" spans="1:12" ht="15.75" customHeight="1" x14ac:dyDescent="0.35">
      <c r="A350" s="31"/>
      <c r="B350" s="30"/>
      <c r="C350" s="72" t="str">
        <f>IF($B350="","",IFERROR(INDEX(الموظفون!$C$6:$C$45,MATCH($B350,الموظفون!$B$6:$B$45,0)),""))</f>
        <v/>
      </c>
      <c r="D350" s="73" t="str">
        <f>IF($B350="","",IFERROR(INDEX(الموظفون!$M$6:$M$45,MATCH($B350,الموظفون!$B$6:$B$45,0)),""))</f>
        <v/>
      </c>
      <c r="E350" s="49"/>
      <c r="F350" s="49"/>
      <c r="G350" s="74" t="str">
        <f t="shared" si="10"/>
        <v/>
      </c>
      <c r="H350" s="75" t="str">
        <f t="shared" si="11"/>
        <v/>
      </c>
      <c r="I350" s="75" t="str">
        <f>IF($H350="","",MAX(0,ROUND($H350-الإعدادات!$C$24-الإعدادات!$C$27,2)))</f>
        <v/>
      </c>
      <c r="J350" s="76" t="str">
        <f>IF(OR($B350="",$G350="",$G350&lt;=0),"",COUNTIFS($B$6:$B350,$B350,$G$6:$G350,"&gt;0"))</f>
        <v/>
      </c>
      <c r="K350" s="75" t="str">
        <f>IF($J350="","",INDEX(الجزاءات!$E$6:$H$9,MATCH($G350,الجزاءات!$B$6:$B$9,1),MIN($J350,4)))</f>
        <v/>
      </c>
      <c r="L350" s="45"/>
    </row>
    <row r="351" spans="1:12" ht="15.75" customHeight="1" x14ac:dyDescent="0.35">
      <c r="A351" s="31"/>
      <c r="B351" s="30"/>
      <c r="C351" s="72" t="str">
        <f>IF($B351="","",IFERROR(INDEX(الموظفون!$C$6:$C$45,MATCH($B351,الموظفون!$B$6:$B$45,0)),""))</f>
        <v/>
      </c>
      <c r="D351" s="73" t="str">
        <f>IF($B351="","",IFERROR(INDEX(الموظفون!$M$6:$M$45,MATCH($B351,الموظفون!$B$6:$B$45,0)),""))</f>
        <v/>
      </c>
      <c r="E351" s="49"/>
      <c r="F351" s="49"/>
      <c r="G351" s="74" t="str">
        <f t="shared" si="10"/>
        <v/>
      </c>
      <c r="H351" s="75" t="str">
        <f t="shared" si="11"/>
        <v/>
      </c>
      <c r="I351" s="75" t="str">
        <f>IF($H351="","",MAX(0,ROUND($H351-الإعدادات!$C$24-الإعدادات!$C$27,2)))</f>
        <v/>
      </c>
      <c r="J351" s="76" t="str">
        <f>IF(OR($B351="",$G351="",$G351&lt;=0),"",COUNTIFS($B$6:$B351,$B351,$G$6:$G351,"&gt;0"))</f>
        <v/>
      </c>
      <c r="K351" s="75" t="str">
        <f>IF($J351="","",INDEX(الجزاءات!$E$6:$H$9,MATCH($G351,الجزاءات!$B$6:$B$9,1),MIN($J351,4)))</f>
        <v/>
      </c>
      <c r="L351" s="45"/>
    </row>
    <row r="352" spans="1:12" ht="15.75" customHeight="1" x14ac:dyDescent="0.35">
      <c r="A352" s="31"/>
      <c r="B352" s="30"/>
      <c r="C352" s="72" t="str">
        <f>IF($B352="","",IFERROR(INDEX(الموظفون!$C$6:$C$45,MATCH($B352,الموظفون!$B$6:$B$45,0)),""))</f>
        <v/>
      </c>
      <c r="D352" s="73" t="str">
        <f>IF($B352="","",IFERROR(INDEX(الموظفون!$M$6:$M$45,MATCH($B352,الموظفون!$B$6:$B$45,0)),""))</f>
        <v/>
      </c>
      <c r="E352" s="49"/>
      <c r="F352" s="49"/>
      <c r="G352" s="74" t="str">
        <f t="shared" si="10"/>
        <v/>
      </c>
      <c r="H352" s="75" t="str">
        <f t="shared" si="11"/>
        <v/>
      </c>
      <c r="I352" s="75" t="str">
        <f>IF($H352="","",MAX(0,ROUND($H352-الإعدادات!$C$24-الإعدادات!$C$27,2)))</f>
        <v/>
      </c>
      <c r="J352" s="76" t="str">
        <f>IF(OR($B352="",$G352="",$G352&lt;=0),"",COUNTIFS($B$6:$B352,$B352,$G$6:$G352,"&gt;0"))</f>
        <v/>
      </c>
      <c r="K352" s="75" t="str">
        <f>IF($J352="","",INDEX(الجزاءات!$E$6:$H$9,MATCH($G352,الجزاءات!$B$6:$B$9,1),MIN($J352,4)))</f>
        <v/>
      </c>
      <c r="L352" s="45"/>
    </row>
    <row r="353" spans="1:12" ht="15.75" customHeight="1" x14ac:dyDescent="0.35">
      <c r="A353" s="31"/>
      <c r="B353" s="30"/>
      <c r="C353" s="72" t="str">
        <f>IF($B353="","",IFERROR(INDEX(الموظفون!$C$6:$C$45,MATCH($B353,الموظفون!$B$6:$B$45,0)),""))</f>
        <v/>
      </c>
      <c r="D353" s="73" t="str">
        <f>IF($B353="","",IFERROR(INDEX(الموظفون!$M$6:$M$45,MATCH($B353,الموظفون!$B$6:$B$45,0)),""))</f>
        <v/>
      </c>
      <c r="E353" s="49"/>
      <c r="F353" s="49"/>
      <c r="G353" s="74" t="str">
        <f t="shared" si="10"/>
        <v/>
      </c>
      <c r="H353" s="75" t="str">
        <f t="shared" si="11"/>
        <v/>
      </c>
      <c r="I353" s="75" t="str">
        <f>IF($H353="","",MAX(0,ROUND($H353-الإعدادات!$C$24-الإعدادات!$C$27,2)))</f>
        <v/>
      </c>
      <c r="J353" s="76" t="str">
        <f>IF(OR($B353="",$G353="",$G353&lt;=0),"",COUNTIFS($B$6:$B353,$B353,$G$6:$G353,"&gt;0"))</f>
        <v/>
      </c>
      <c r="K353" s="75" t="str">
        <f>IF($J353="","",INDEX(الجزاءات!$E$6:$H$9,MATCH($G353,الجزاءات!$B$6:$B$9,1),MIN($J353,4)))</f>
        <v/>
      </c>
      <c r="L353" s="45"/>
    </row>
    <row r="354" spans="1:12" ht="15.75" customHeight="1" x14ac:dyDescent="0.35">
      <c r="A354" s="31"/>
      <c r="B354" s="30"/>
      <c r="C354" s="72" t="str">
        <f>IF($B354="","",IFERROR(INDEX(الموظفون!$C$6:$C$45,MATCH($B354,الموظفون!$B$6:$B$45,0)),""))</f>
        <v/>
      </c>
      <c r="D354" s="73" t="str">
        <f>IF($B354="","",IFERROR(INDEX(الموظفون!$M$6:$M$45,MATCH($B354,الموظفون!$B$6:$B$45,0)),""))</f>
        <v/>
      </c>
      <c r="E354" s="49"/>
      <c r="F354" s="49"/>
      <c r="G354" s="74" t="str">
        <f t="shared" si="10"/>
        <v/>
      </c>
      <c r="H354" s="75" t="str">
        <f t="shared" si="11"/>
        <v/>
      </c>
      <c r="I354" s="75" t="str">
        <f>IF($H354="","",MAX(0,ROUND($H354-الإعدادات!$C$24-الإعدادات!$C$27,2)))</f>
        <v/>
      </c>
      <c r="J354" s="76" t="str">
        <f>IF(OR($B354="",$G354="",$G354&lt;=0),"",COUNTIFS($B$6:$B354,$B354,$G$6:$G354,"&gt;0"))</f>
        <v/>
      </c>
      <c r="K354" s="75" t="str">
        <f>IF($J354="","",INDEX(الجزاءات!$E$6:$H$9,MATCH($G354,الجزاءات!$B$6:$B$9,1),MIN($J354,4)))</f>
        <v/>
      </c>
      <c r="L354" s="45"/>
    </row>
    <row r="355" spans="1:12" ht="15.75" customHeight="1" x14ac:dyDescent="0.35">
      <c r="A355" s="31"/>
      <c r="B355" s="30"/>
      <c r="C355" s="72" t="str">
        <f>IF($B355="","",IFERROR(INDEX(الموظفون!$C$6:$C$45,MATCH($B355,الموظفون!$B$6:$B$45,0)),""))</f>
        <v/>
      </c>
      <c r="D355" s="73" t="str">
        <f>IF($B355="","",IFERROR(INDEX(الموظفون!$M$6:$M$45,MATCH($B355,الموظفون!$B$6:$B$45,0)),""))</f>
        <v/>
      </c>
      <c r="E355" s="49"/>
      <c r="F355" s="49"/>
      <c r="G355" s="74" t="str">
        <f t="shared" si="10"/>
        <v/>
      </c>
      <c r="H355" s="75" t="str">
        <f t="shared" si="11"/>
        <v/>
      </c>
      <c r="I355" s="75" t="str">
        <f>IF($H355="","",MAX(0,ROUND($H355-الإعدادات!$C$24-الإعدادات!$C$27,2)))</f>
        <v/>
      </c>
      <c r="J355" s="76" t="str">
        <f>IF(OR($B355="",$G355="",$G355&lt;=0),"",COUNTIFS($B$6:$B355,$B355,$G$6:$G355,"&gt;0"))</f>
        <v/>
      </c>
      <c r="K355" s="75" t="str">
        <f>IF($J355="","",INDEX(الجزاءات!$E$6:$H$9,MATCH($G355,الجزاءات!$B$6:$B$9,1),MIN($J355,4)))</f>
        <v/>
      </c>
      <c r="L355" s="45"/>
    </row>
    <row r="356" spans="1:12" ht="15.75" customHeight="1" x14ac:dyDescent="0.35">
      <c r="A356" s="31"/>
      <c r="B356" s="30"/>
      <c r="C356" s="72" t="str">
        <f>IF($B356="","",IFERROR(INDEX(الموظفون!$C$6:$C$45,MATCH($B356,الموظفون!$B$6:$B$45,0)),""))</f>
        <v/>
      </c>
      <c r="D356" s="73" t="str">
        <f>IF($B356="","",IFERROR(INDEX(الموظفون!$M$6:$M$45,MATCH($B356,الموظفون!$B$6:$B$45,0)),""))</f>
        <v/>
      </c>
      <c r="E356" s="49"/>
      <c r="F356" s="49"/>
      <c r="G356" s="74" t="str">
        <f t="shared" si="10"/>
        <v/>
      </c>
      <c r="H356" s="75" t="str">
        <f t="shared" si="11"/>
        <v/>
      </c>
      <c r="I356" s="75" t="str">
        <f>IF($H356="","",MAX(0,ROUND($H356-الإعدادات!$C$24-الإعدادات!$C$27,2)))</f>
        <v/>
      </c>
      <c r="J356" s="76" t="str">
        <f>IF(OR($B356="",$G356="",$G356&lt;=0),"",COUNTIFS($B$6:$B356,$B356,$G$6:$G356,"&gt;0"))</f>
        <v/>
      </c>
      <c r="K356" s="75" t="str">
        <f>IF($J356="","",INDEX(الجزاءات!$E$6:$H$9,MATCH($G356,الجزاءات!$B$6:$B$9,1),MIN($J356,4)))</f>
        <v/>
      </c>
      <c r="L356" s="45"/>
    </row>
    <row r="357" spans="1:12" ht="15.75" customHeight="1" x14ac:dyDescent="0.35">
      <c r="A357" s="31"/>
      <c r="B357" s="30"/>
      <c r="C357" s="72" t="str">
        <f>IF($B357="","",IFERROR(INDEX(الموظفون!$C$6:$C$45,MATCH($B357,الموظفون!$B$6:$B$45,0)),""))</f>
        <v/>
      </c>
      <c r="D357" s="73" t="str">
        <f>IF($B357="","",IFERROR(INDEX(الموظفون!$M$6:$M$45,MATCH($B357,الموظفون!$B$6:$B$45,0)),""))</f>
        <v/>
      </c>
      <c r="E357" s="49"/>
      <c r="F357" s="49"/>
      <c r="G357" s="74" t="str">
        <f t="shared" si="10"/>
        <v/>
      </c>
      <c r="H357" s="75" t="str">
        <f t="shared" si="11"/>
        <v/>
      </c>
      <c r="I357" s="75" t="str">
        <f>IF($H357="","",MAX(0,ROUND($H357-الإعدادات!$C$24-الإعدادات!$C$27,2)))</f>
        <v/>
      </c>
      <c r="J357" s="76" t="str">
        <f>IF(OR($B357="",$G357="",$G357&lt;=0),"",COUNTIFS($B$6:$B357,$B357,$G$6:$G357,"&gt;0"))</f>
        <v/>
      </c>
      <c r="K357" s="75" t="str">
        <f>IF($J357="","",INDEX(الجزاءات!$E$6:$H$9,MATCH($G357,الجزاءات!$B$6:$B$9,1),MIN($J357,4)))</f>
        <v/>
      </c>
      <c r="L357" s="45"/>
    </row>
    <row r="358" spans="1:12" ht="15.75" customHeight="1" x14ac:dyDescent="0.35">
      <c r="A358" s="31"/>
      <c r="B358" s="30"/>
      <c r="C358" s="72" t="str">
        <f>IF($B358="","",IFERROR(INDEX(الموظفون!$C$6:$C$45,MATCH($B358,الموظفون!$B$6:$B$45,0)),""))</f>
        <v/>
      </c>
      <c r="D358" s="73" t="str">
        <f>IF($B358="","",IFERROR(INDEX(الموظفون!$M$6:$M$45,MATCH($B358,الموظفون!$B$6:$B$45,0)),""))</f>
        <v/>
      </c>
      <c r="E358" s="49"/>
      <c r="F358" s="49"/>
      <c r="G358" s="74" t="str">
        <f t="shared" si="10"/>
        <v/>
      </c>
      <c r="H358" s="75" t="str">
        <f t="shared" si="11"/>
        <v/>
      </c>
      <c r="I358" s="75" t="str">
        <f>IF($H358="","",MAX(0,ROUND($H358-الإعدادات!$C$24-الإعدادات!$C$27,2)))</f>
        <v/>
      </c>
      <c r="J358" s="76" t="str">
        <f>IF(OR($B358="",$G358="",$G358&lt;=0),"",COUNTIFS($B$6:$B358,$B358,$G$6:$G358,"&gt;0"))</f>
        <v/>
      </c>
      <c r="K358" s="75" t="str">
        <f>IF($J358="","",INDEX(الجزاءات!$E$6:$H$9,MATCH($G358,الجزاءات!$B$6:$B$9,1),MIN($J358,4)))</f>
        <v/>
      </c>
      <c r="L358" s="45"/>
    </row>
    <row r="359" spans="1:12" ht="15.75" customHeight="1" x14ac:dyDescent="0.35">
      <c r="A359" s="31"/>
      <c r="B359" s="30"/>
      <c r="C359" s="72" t="str">
        <f>IF($B359="","",IFERROR(INDEX(الموظفون!$C$6:$C$45,MATCH($B359,الموظفون!$B$6:$B$45,0)),""))</f>
        <v/>
      </c>
      <c r="D359" s="73" t="str">
        <f>IF($B359="","",IFERROR(INDEX(الموظفون!$M$6:$M$45,MATCH($B359,الموظفون!$B$6:$B$45,0)),""))</f>
        <v/>
      </c>
      <c r="E359" s="49"/>
      <c r="F359" s="49"/>
      <c r="G359" s="74" t="str">
        <f t="shared" si="10"/>
        <v/>
      </c>
      <c r="H359" s="75" t="str">
        <f t="shared" si="11"/>
        <v/>
      </c>
      <c r="I359" s="75" t="str">
        <f>IF($H359="","",MAX(0,ROUND($H359-الإعدادات!$C$24-الإعدادات!$C$27,2)))</f>
        <v/>
      </c>
      <c r="J359" s="76" t="str">
        <f>IF(OR($B359="",$G359="",$G359&lt;=0),"",COUNTIFS($B$6:$B359,$B359,$G$6:$G359,"&gt;0"))</f>
        <v/>
      </c>
      <c r="K359" s="75" t="str">
        <f>IF($J359="","",INDEX(الجزاءات!$E$6:$H$9,MATCH($G359,الجزاءات!$B$6:$B$9,1),MIN($J359,4)))</f>
        <v/>
      </c>
      <c r="L359" s="45"/>
    </row>
    <row r="360" spans="1:12" ht="15.75" customHeight="1" x14ac:dyDescent="0.35">
      <c r="A360" s="31"/>
      <c r="B360" s="30"/>
      <c r="C360" s="72" t="str">
        <f>IF($B360="","",IFERROR(INDEX(الموظفون!$C$6:$C$45,MATCH($B360,الموظفون!$B$6:$B$45,0)),""))</f>
        <v/>
      </c>
      <c r="D360" s="73" t="str">
        <f>IF($B360="","",IFERROR(INDEX(الموظفون!$M$6:$M$45,MATCH($B360,الموظفون!$B$6:$B$45,0)),""))</f>
        <v/>
      </c>
      <c r="E360" s="49"/>
      <c r="F360" s="49"/>
      <c r="G360" s="74" t="str">
        <f t="shared" si="10"/>
        <v/>
      </c>
      <c r="H360" s="75" t="str">
        <f t="shared" si="11"/>
        <v/>
      </c>
      <c r="I360" s="75" t="str">
        <f>IF($H360="","",MAX(0,ROUND($H360-الإعدادات!$C$24-الإعدادات!$C$27,2)))</f>
        <v/>
      </c>
      <c r="J360" s="76" t="str">
        <f>IF(OR($B360="",$G360="",$G360&lt;=0),"",COUNTIFS($B$6:$B360,$B360,$G$6:$G360,"&gt;0"))</f>
        <v/>
      </c>
      <c r="K360" s="75" t="str">
        <f>IF($J360="","",INDEX(الجزاءات!$E$6:$H$9,MATCH($G360,الجزاءات!$B$6:$B$9,1),MIN($J360,4)))</f>
        <v/>
      </c>
      <c r="L360" s="45"/>
    </row>
    <row r="361" spans="1:12" ht="15.75" customHeight="1" x14ac:dyDescent="0.35">
      <c r="A361" s="31"/>
      <c r="B361" s="30"/>
      <c r="C361" s="72" t="str">
        <f>IF($B361="","",IFERROR(INDEX(الموظفون!$C$6:$C$45,MATCH($B361,الموظفون!$B$6:$B$45,0)),""))</f>
        <v/>
      </c>
      <c r="D361" s="73" t="str">
        <f>IF($B361="","",IFERROR(INDEX(الموظفون!$M$6:$M$45,MATCH($B361,الموظفون!$B$6:$B$45,0)),""))</f>
        <v/>
      </c>
      <c r="E361" s="49"/>
      <c r="F361" s="49"/>
      <c r="G361" s="74" t="str">
        <f t="shared" si="10"/>
        <v/>
      </c>
      <c r="H361" s="75" t="str">
        <f t="shared" si="11"/>
        <v/>
      </c>
      <c r="I361" s="75" t="str">
        <f>IF($H361="","",MAX(0,ROUND($H361-الإعدادات!$C$24-الإعدادات!$C$27,2)))</f>
        <v/>
      </c>
      <c r="J361" s="76" t="str">
        <f>IF(OR($B361="",$G361="",$G361&lt;=0),"",COUNTIFS($B$6:$B361,$B361,$G$6:$G361,"&gt;0"))</f>
        <v/>
      </c>
      <c r="K361" s="75" t="str">
        <f>IF($J361="","",INDEX(الجزاءات!$E$6:$H$9,MATCH($G361,الجزاءات!$B$6:$B$9,1),MIN($J361,4)))</f>
        <v/>
      </c>
      <c r="L361" s="45"/>
    </row>
    <row r="362" spans="1:12" ht="15.75" customHeight="1" x14ac:dyDescent="0.35">
      <c r="A362" s="31"/>
      <c r="B362" s="30"/>
      <c r="C362" s="72" t="str">
        <f>IF($B362="","",IFERROR(INDEX(الموظفون!$C$6:$C$45,MATCH($B362,الموظفون!$B$6:$B$45,0)),""))</f>
        <v/>
      </c>
      <c r="D362" s="73" t="str">
        <f>IF($B362="","",IFERROR(INDEX(الموظفون!$M$6:$M$45,MATCH($B362,الموظفون!$B$6:$B$45,0)),""))</f>
        <v/>
      </c>
      <c r="E362" s="49"/>
      <c r="F362" s="49"/>
      <c r="G362" s="74" t="str">
        <f t="shared" si="10"/>
        <v/>
      </c>
      <c r="H362" s="75" t="str">
        <f t="shared" si="11"/>
        <v/>
      </c>
      <c r="I362" s="75" t="str">
        <f>IF($H362="","",MAX(0,ROUND($H362-الإعدادات!$C$24-الإعدادات!$C$27,2)))</f>
        <v/>
      </c>
      <c r="J362" s="76" t="str">
        <f>IF(OR($B362="",$G362="",$G362&lt;=0),"",COUNTIFS($B$6:$B362,$B362,$G$6:$G362,"&gt;0"))</f>
        <v/>
      </c>
      <c r="K362" s="75" t="str">
        <f>IF($J362="","",INDEX(الجزاءات!$E$6:$H$9,MATCH($G362,الجزاءات!$B$6:$B$9,1),MIN($J362,4)))</f>
        <v/>
      </c>
      <c r="L362" s="45"/>
    </row>
    <row r="363" spans="1:12" ht="15.75" customHeight="1" x14ac:dyDescent="0.35">
      <c r="A363" s="31"/>
      <c r="B363" s="30"/>
      <c r="C363" s="72" t="str">
        <f>IF($B363="","",IFERROR(INDEX(الموظفون!$C$6:$C$45,MATCH($B363,الموظفون!$B$6:$B$45,0)),""))</f>
        <v/>
      </c>
      <c r="D363" s="73" t="str">
        <f>IF($B363="","",IFERROR(INDEX(الموظفون!$M$6:$M$45,MATCH($B363,الموظفون!$B$6:$B$45,0)),""))</f>
        <v/>
      </c>
      <c r="E363" s="49"/>
      <c r="F363" s="49"/>
      <c r="G363" s="74" t="str">
        <f t="shared" si="10"/>
        <v/>
      </c>
      <c r="H363" s="75" t="str">
        <f t="shared" si="11"/>
        <v/>
      </c>
      <c r="I363" s="75" t="str">
        <f>IF($H363="","",MAX(0,ROUND($H363-الإعدادات!$C$24-الإعدادات!$C$27,2)))</f>
        <v/>
      </c>
      <c r="J363" s="76" t="str">
        <f>IF(OR($B363="",$G363="",$G363&lt;=0),"",COUNTIFS($B$6:$B363,$B363,$G$6:$G363,"&gt;0"))</f>
        <v/>
      </c>
      <c r="K363" s="75" t="str">
        <f>IF($J363="","",INDEX(الجزاءات!$E$6:$H$9,MATCH($G363,الجزاءات!$B$6:$B$9,1),MIN($J363,4)))</f>
        <v/>
      </c>
      <c r="L363" s="45"/>
    </row>
    <row r="364" spans="1:12" ht="15.75" customHeight="1" x14ac:dyDescent="0.35">
      <c r="A364" s="31"/>
      <c r="B364" s="30"/>
      <c r="C364" s="72" t="str">
        <f>IF($B364="","",IFERROR(INDEX(الموظفون!$C$6:$C$45,MATCH($B364,الموظفون!$B$6:$B$45,0)),""))</f>
        <v/>
      </c>
      <c r="D364" s="73" t="str">
        <f>IF($B364="","",IFERROR(INDEX(الموظفون!$M$6:$M$45,MATCH($B364,الموظفون!$B$6:$B$45,0)),""))</f>
        <v/>
      </c>
      <c r="E364" s="49"/>
      <c r="F364" s="49"/>
      <c r="G364" s="74" t="str">
        <f t="shared" si="10"/>
        <v/>
      </c>
      <c r="H364" s="75" t="str">
        <f t="shared" si="11"/>
        <v/>
      </c>
      <c r="I364" s="75" t="str">
        <f>IF($H364="","",MAX(0,ROUND($H364-الإعدادات!$C$24-الإعدادات!$C$27,2)))</f>
        <v/>
      </c>
      <c r="J364" s="76" t="str">
        <f>IF(OR($B364="",$G364="",$G364&lt;=0),"",COUNTIFS($B$6:$B364,$B364,$G$6:$G364,"&gt;0"))</f>
        <v/>
      </c>
      <c r="K364" s="75" t="str">
        <f>IF($J364="","",INDEX(الجزاءات!$E$6:$H$9,MATCH($G364,الجزاءات!$B$6:$B$9,1),MIN($J364,4)))</f>
        <v/>
      </c>
      <c r="L364" s="45"/>
    </row>
    <row r="365" spans="1:12" ht="15.75" customHeight="1" x14ac:dyDescent="0.35">
      <c r="A365" s="31"/>
      <c r="B365" s="30"/>
      <c r="C365" s="72" t="str">
        <f>IF($B365="","",IFERROR(INDEX(الموظفون!$C$6:$C$45,MATCH($B365,الموظفون!$B$6:$B$45,0)),""))</f>
        <v/>
      </c>
      <c r="D365" s="73" t="str">
        <f>IF($B365="","",IFERROR(INDEX(الموظفون!$M$6:$M$45,MATCH($B365,الموظفون!$B$6:$B$45,0)),""))</f>
        <v/>
      </c>
      <c r="E365" s="49"/>
      <c r="F365" s="49"/>
      <c r="G365" s="74" t="str">
        <f t="shared" si="10"/>
        <v/>
      </c>
      <c r="H365" s="75" t="str">
        <f t="shared" si="11"/>
        <v/>
      </c>
      <c r="I365" s="75" t="str">
        <f>IF($H365="","",MAX(0,ROUND($H365-الإعدادات!$C$24-الإعدادات!$C$27,2)))</f>
        <v/>
      </c>
      <c r="J365" s="76" t="str">
        <f>IF(OR($B365="",$G365="",$G365&lt;=0),"",COUNTIFS($B$6:$B365,$B365,$G$6:$G365,"&gt;0"))</f>
        <v/>
      </c>
      <c r="K365" s="75" t="str">
        <f>IF($J365="","",INDEX(الجزاءات!$E$6:$H$9,MATCH($G365,الجزاءات!$B$6:$B$9,1),MIN($J365,4)))</f>
        <v/>
      </c>
      <c r="L365" s="45"/>
    </row>
    <row r="366" spans="1:12" ht="15.75" customHeight="1" x14ac:dyDescent="0.35">
      <c r="A366" s="31"/>
      <c r="B366" s="30"/>
      <c r="C366" s="72" t="str">
        <f>IF($B366="","",IFERROR(INDEX(الموظفون!$C$6:$C$45,MATCH($B366,الموظفون!$B$6:$B$45,0)),""))</f>
        <v/>
      </c>
      <c r="D366" s="73" t="str">
        <f>IF($B366="","",IFERROR(INDEX(الموظفون!$M$6:$M$45,MATCH($B366,الموظفون!$B$6:$B$45,0)),""))</f>
        <v/>
      </c>
      <c r="E366" s="49"/>
      <c r="F366" s="49"/>
      <c r="G366" s="74" t="str">
        <f t="shared" si="10"/>
        <v/>
      </c>
      <c r="H366" s="75" t="str">
        <f t="shared" si="11"/>
        <v/>
      </c>
      <c r="I366" s="75" t="str">
        <f>IF($H366="","",MAX(0,ROUND($H366-الإعدادات!$C$24-الإعدادات!$C$27,2)))</f>
        <v/>
      </c>
      <c r="J366" s="76" t="str">
        <f>IF(OR($B366="",$G366="",$G366&lt;=0),"",COUNTIFS($B$6:$B366,$B366,$G$6:$G366,"&gt;0"))</f>
        <v/>
      </c>
      <c r="K366" s="75" t="str">
        <f>IF($J366="","",INDEX(الجزاءات!$E$6:$H$9,MATCH($G366,الجزاءات!$B$6:$B$9,1),MIN($J366,4)))</f>
        <v/>
      </c>
      <c r="L366" s="45"/>
    </row>
    <row r="367" spans="1:12" ht="15.75" customHeight="1" x14ac:dyDescent="0.35">
      <c r="A367" s="31"/>
      <c r="B367" s="30"/>
      <c r="C367" s="72" t="str">
        <f>IF($B367="","",IFERROR(INDEX(الموظفون!$C$6:$C$45,MATCH($B367,الموظفون!$B$6:$B$45,0)),""))</f>
        <v/>
      </c>
      <c r="D367" s="73" t="str">
        <f>IF($B367="","",IFERROR(INDEX(الموظفون!$M$6:$M$45,MATCH($B367,الموظفون!$B$6:$B$45,0)),""))</f>
        <v/>
      </c>
      <c r="E367" s="49"/>
      <c r="F367" s="49"/>
      <c r="G367" s="74" t="str">
        <f t="shared" si="10"/>
        <v/>
      </c>
      <c r="H367" s="75" t="str">
        <f t="shared" si="11"/>
        <v/>
      </c>
      <c r="I367" s="75" t="str">
        <f>IF($H367="","",MAX(0,ROUND($H367-الإعدادات!$C$24-الإعدادات!$C$27,2)))</f>
        <v/>
      </c>
      <c r="J367" s="76" t="str">
        <f>IF(OR($B367="",$G367="",$G367&lt;=0),"",COUNTIFS($B$6:$B367,$B367,$G$6:$G367,"&gt;0"))</f>
        <v/>
      </c>
      <c r="K367" s="75" t="str">
        <f>IF($J367="","",INDEX(الجزاءات!$E$6:$H$9,MATCH($G367,الجزاءات!$B$6:$B$9,1),MIN($J367,4)))</f>
        <v/>
      </c>
      <c r="L367" s="45"/>
    </row>
    <row r="368" spans="1:12" ht="15.75" customHeight="1" x14ac:dyDescent="0.35">
      <c r="A368" s="31"/>
      <c r="B368" s="30"/>
      <c r="C368" s="72" t="str">
        <f>IF($B368="","",IFERROR(INDEX(الموظفون!$C$6:$C$45,MATCH($B368,الموظفون!$B$6:$B$45,0)),""))</f>
        <v/>
      </c>
      <c r="D368" s="73" t="str">
        <f>IF($B368="","",IFERROR(INDEX(الموظفون!$M$6:$M$45,MATCH($B368,الموظفون!$B$6:$B$45,0)),""))</f>
        <v/>
      </c>
      <c r="E368" s="49"/>
      <c r="F368" s="49"/>
      <c r="G368" s="74" t="str">
        <f t="shared" si="10"/>
        <v/>
      </c>
      <c r="H368" s="75" t="str">
        <f t="shared" si="11"/>
        <v/>
      </c>
      <c r="I368" s="75" t="str">
        <f>IF($H368="","",MAX(0,ROUND($H368-الإعدادات!$C$24-الإعدادات!$C$27,2)))</f>
        <v/>
      </c>
      <c r="J368" s="76" t="str">
        <f>IF(OR($B368="",$G368="",$G368&lt;=0),"",COUNTIFS($B$6:$B368,$B368,$G$6:$G368,"&gt;0"))</f>
        <v/>
      </c>
      <c r="K368" s="75" t="str">
        <f>IF($J368="","",INDEX(الجزاءات!$E$6:$H$9,MATCH($G368,الجزاءات!$B$6:$B$9,1),MIN($J368,4)))</f>
        <v/>
      </c>
      <c r="L368" s="45"/>
    </row>
    <row r="369" spans="1:12" ht="15.75" customHeight="1" x14ac:dyDescent="0.35">
      <c r="A369" s="31"/>
      <c r="B369" s="30"/>
      <c r="C369" s="72" t="str">
        <f>IF($B369="","",IFERROR(INDEX(الموظفون!$C$6:$C$45,MATCH($B369,الموظفون!$B$6:$B$45,0)),""))</f>
        <v/>
      </c>
      <c r="D369" s="73" t="str">
        <f>IF($B369="","",IFERROR(INDEX(الموظفون!$M$6:$M$45,MATCH($B369,الموظفون!$B$6:$B$45,0)),""))</f>
        <v/>
      </c>
      <c r="E369" s="49"/>
      <c r="F369" s="49"/>
      <c r="G369" s="74" t="str">
        <f t="shared" si="10"/>
        <v/>
      </c>
      <c r="H369" s="75" t="str">
        <f t="shared" si="11"/>
        <v/>
      </c>
      <c r="I369" s="75" t="str">
        <f>IF($H369="","",MAX(0,ROUND($H369-الإعدادات!$C$24-الإعدادات!$C$27,2)))</f>
        <v/>
      </c>
      <c r="J369" s="76" t="str">
        <f>IF(OR($B369="",$G369="",$G369&lt;=0),"",COUNTIFS($B$6:$B369,$B369,$G$6:$G369,"&gt;0"))</f>
        <v/>
      </c>
      <c r="K369" s="75" t="str">
        <f>IF($J369="","",INDEX(الجزاءات!$E$6:$H$9,MATCH($G369,الجزاءات!$B$6:$B$9,1),MIN($J369,4)))</f>
        <v/>
      </c>
      <c r="L369" s="45"/>
    </row>
    <row r="370" spans="1:12" ht="15.75" customHeight="1" x14ac:dyDescent="0.35">
      <c r="A370" s="31"/>
      <c r="B370" s="30"/>
      <c r="C370" s="72" t="str">
        <f>IF($B370="","",IFERROR(INDEX(الموظفون!$C$6:$C$45,MATCH($B370,الموظفون!$B$6:$B$45,0)),""))</f>
        <v/>
      </c>
      <c r="D370" s="73" t="str">
        <f>IF($B370="","",IFERROR(INDEX(الموظفون!$M$6:$M$45,MATCH($B370,الموظفون!$B$6:$B$45,0)),""))</f>
        <v/>
      </c>
      <c r="E370" s="49"/>
      <c r="F370" s="49"/>
      <c r="G370" s="74" t="str">
        <f t="shared" si="10"/>
        <v/>
      </c>
      <c r="H370" s="75" t="str">
        <f t="shared" si="11"/>
        <v/>
      </c>
      <c r="I370" s="75" t="str">
        <f>IF($H370="","",MAX(0,ROUND($H370-الإعدادات!$C$24-الإعدادات!$C$27,2)))</f>
        <v/>
      </c>
      <c r="J370" s="76" t="str">
        <f>IF(OR($B370="",$G370="",$G370&lt;=0),"",COUNTIFS($B$6:$B370,$B370,$G$6:$G370,"&gt;0"))</f>
        <v/>
      </c>
      <c r="K370" s="75" t="str">
        <f>IF($J370="","",INDEX(الجزاءات!$E$6:$H$9,MATCH($G370,الجزاءات!$B$6:$B$9,1),MIN($J370,4)))</f>
        <v/>
      </c>
      <c r="L370" s="45"/>
    </row>
    <row r="371" spans="1:12" ht="15.75" customHeight="1" x14ac:dyDescent="0.35">
      <c r="A371" s="31"/>
      <c r="B371" s="30"/>
      <c r="C371" s="72" t="str">
        <f>IF($B371="","",IFERROR(INDEX(الموظفون!$C$6:$C$45,MATCH($B371,الموظفون!$B$6:$B$45,0)),""))</f>
        <v/>
      </c>
      <c r="D371" s="73" t="str">
        <f>IF($B371="","",IFERROR(INDEX(الموظفون!$M$6:$M$45,MATCH($B371,الموظفون!$B$6:$B$45,0)),""))</f>
        <v/>
      </c>
      <c r="E371" s="49"/>
      <c r="F371" s="49"/>
      <c r="G371" s="74" t="str">
        <f t="shared" si="10"/>
        <v/>
      </c>
      <c r="H371" s="75" t="str">
        <f t="shared" si="11"/>
        <v/>
      </c>
      <c r="I371" s="75" t="str">
        <f>IF($H371="","",MAX(0,ROUND($H371-الإعدادات!$C$24-الإعدادات!$C$27,2)))</f>
        <v/>
      </c>
      <c r="J371" s="76" t="str">
        <f>IF(OR($B371="",$G371="",$G371&lt;=0),"",COUNTIFS($B$6:$B371,$B371,$G$6:$G371,"&gt;0"))</f>
        <v/>
      </c>
      <c r="K371" s="75" t="str">
        <f>IF($J371="","",INDEX(الجزاءات!$E$6:$H$9,MATCH($G371,الجزاءات!$B$6:$B$9,1),MIN($J371,4)))</f>
        <v/>
      </c>
      <c r="L371" s="45"/>
    </row>
    <row r="372" spans="1:12" ht="15.75" customHeight="1" x14ac:dyDescent="0.35">
      <c r="A372" s="31"/>
      <c r="B372" s="30"/>
      <c r="C372" s="72" t="str">
        <f>IF($B372="","",IFERROR(INDEX(الموظفون!$C$6:$C$45,MATCH($B372,الموظفون!$B$6:$B$45,0)),""))</f>
        <v/>
      </c>
      <c r="D372" s="73" t="str">
        <f>IF($B372="","",IFERROR(INDEX(الموظفون!$M$6:$M$45,MATCH($B372,الموظفون!$B$6:$B$45,0)),""))</f>
        <v/>
      </c>
      <c r="E372" s="49"/>
      <c r="F372" s="49"/>
      <c r="G372" s="74" t="str">
        <f t="shared" si="10"/>
        <v/>
      </c>
      <c r="H372" s="75" t="str">
        <f t="shared" si="11"/>
        <v/>
      </c>
      <c r="I372" s="75" t="str">
        <f>IF($H372="","",MAX(0,ROUND($H372-الإعدادات!$C$24-الإعدادات!$C$27,2)))</f>
        <v/>
      </c>
      <c r="J372" s="76" t="str">
        <f>IF(OR($B372="",$G372="",$G372&lt;=0),"",COUNTIFS($B$6:$B372,$B372,$G$6:$G372,"&gt;0"))</f>
        <v/>
      </c>
      <c r="K372" s="75" t="str">
        <f>IF($J372="","",INDEX(الجزاءات!$E$6:$H$9,MATCH($G372,الجزاءات!$B$6:$B$9,1),MIN($J372,4)))</f>
        <v/>
      </c>
      <c r="L372" s="45"/>
    </row>
    <row r="373" spans="1:12" ht="15.75" customHeight="1" x14ac:dyDescent="0.35">
      <c r="A373" s="31"/>
      <c r="B373" s="30"/>
      <c r="C373" s="72" t="str">
        <f>IF($B373="","",IFERROR(INDEX(الموظفون!$C$6:$C$45,MATCH($B373,الموظفون!$B$6:$B$45,0)),""))</f>
        <v/>
      </c>
      <c r="D373" s="73" t="str">
        <f>IF($B373="","",IFERROR(INDEX(الموظفون!$M$6:$M$45,MATCH($B373,الموظفون!$B$6:$B$45,0)),""))</f>
        <v/>
      </c>
      <c r="E373" s="49"/>
      <c r="F373" s="49"/>
      <c r="G373" s="74" t="str">
        <f t="shared" si="10"/>
        <v/>
      </c>
      <c r="H373" s="75" t="str">
        <f t="shared" si="11"/>
        <v/>
      </c>
      <c r="I373" s="75" t="str">
        <f>IF($H373="","",MAX(0,ROUND($H373-الإعدادات!$C$24-الإعدادات!$C$27,2)))</f>
        <v/>
      </c>
      <c r="J373" s="76" t="str">
        <f>IF(OR($B373="",$G373="",$G373&lt;=0),"",COUNTIFS($B$6:$B373,$B373,$G$6:$G373,"&gt;0"))</f>
        <v/>
      </c>
      <c r="K373" s="75" t="str">
        <f>IF($J373="","",INDEX(الجزاءات!$E$6:$H$9,MATCH($G373,الجزاءات!$B$6:$B$9,1),MIN($J373,4)))</f>
        <v/>
      </c>
      <c r="L373" s="45"/>
    </row>
    <row r="374" spans="1:12" ht="15.75" customHeight="1" x14ac:dyDescent="0.35">
      <c r="A374" s="31"/>
      <c r="B374" s="30"/>
      <c r="C374" s="72" t="str">
        <f>IF($B374="","",IFERROR(INDEX(الموظفون!$C$6:$C$45,MATCH($B374,الموظفون!$B$6:$B$45,0)),""))</f>
        <v/>
      </c>
      <c r="D374" s="73" t="str">
        <f>IF($B374="","",IFERROR(INDEX(الموظفون!$M$6:$M$45,MATCH($B374,الموظفون!$B$6:$B$45,0)),""))</f>
        <v/>
      </c>
      <c r="E374" s="49"/>
      <c r="F374" s="49"/>
      <c r="G374" s="74" t="str">
        <f t="shared" si="10"/>
        <v/>
      </c>
      <c r="H374" s="75" t="str">
        <f t="shared" si="11"/>
        <v/>
      </c>
      <c r="I374" s="75" t="str">
        <f>IF($H374="","",MAX(0,ROUND($H374-الإعدادات!$C$24-الإعدادات!$C$27,2)))</f>
        <v/>
      </c>
      <c r="J374" s="76" t="str">
        <f>IF(OR($B374="",$G374="",$G374&lt;=0),"",COUNTIFS($B$6:$B374,$B374,$G$6:$G374,"&gt;0"))</f>
        <v/>
      </c>
      <c r="K374" s="75" t="str">
        <f>IF($J374="","",INDEX(الجزاءات!$E$6:$H$9,MATCH($G374,الجزاءات!$B$6:$B$9,1),MIN($J374,4)))</f>
        <v/>
      </c>
      <c r="L374" s="45"/>
    </row>
    <row r="375" spans="1:12" ht="15.75" customHeight="1" x14ac:dyDescent="0.35">
      <c r="A375" s="31"/>
      <c r="B375" s="30"/>
      <c r="C375" s="72" t="str">
        <f>IF($B375="","",IFERROR(INDEX(الموظفون!$C$6:$C$45,MATCH($B375,الموظفون!$B$6:$B$45,0)),""))</f>
        <v/>
      </c>
      <c r="D375" s="73" t="str">
        <f>IF($B375="","",IFERROR(INDEX(الموظفون!$M$6:$M$45,MATCH($B375,الموظفون!$B$6:$B$45,0)),""))</f>
        <v/>
      </c>
      <c r="E375" s="49"/>
      <c r="F375" s="49"/>
      <c r="G375" s="74" t="str">
        <f t="shared" si="10"/>
        <v/>
      </c>
      <c r="H375" s="75" t="str">
        <f t="shared" si="11"/>
        <v/>
      </c>
      <c r="I375" s="75" t="str">
        <f>IF($H375="","",MAX(0,ROUND($H375-الإعدادات!$C$24-الإعدادات!$C$27,2)))</f>
        <v/>
      </c>
      <c r="J375" s="76" t="str">
        <f>IF(OR($B375="",$G375="",$G375&lt;=0),"",COUNTIFS($B$6:$B375,$B375,$G$6:$G375,"&gt;0"))</f>
        <v/>
      </c>
      <c r="K375" s="75" t="str">
        <f>IF($J375="","",INDEX(الجزاءات!$E$6:$H$9,MATCH($G375,الجزاءات!$B$6:$B$9,1),MIN($J375,4)))</f>
        <v/>
      </c>
      <c r="L375" s="45"/>
    </row>
    <row r="376" spans="1:12" ht="15.75" customHeight="1" x14ac:dyDescent="0.35">
      <c r="A376" s="31"/>
      <c r="B376" s="30"/>
      <c r="C376" s="72" t="str">
        <f>IF($B376="","",IFERROR(INDEX(الموظفون!$C$6:$C$45,MATCH($B376,الموظفون!$B$6:$B$45,0)),""))</f>
        <v/>
      </c>
      <c r="D376" s="73" t="str">
        <f>IF($B376="","",IFERROR(INDEX(الموظفون!$M$6:$M$45,MATCH($B376,الموظفون!$B$6:$B$45,0)),""))</f>
        <v/>
      </c>
      <c r="E376" s="49"/>
      <c r="F376" s="49"/>
      <c r="G376" s="74" t="str">
        <f t="shared" si="10"/>
        <v/>
      </c>
      <c r="H376" s="75" t="str">
        <f t="shared" si="11"/>
        <v/>
      </c>
      <c r="I376" s="75" t="str">
        <f>IF($H376="","",MAX(0,ROUND($H376-الإعدادات!$C$24-الإعدادات!$C$27,2)))</f>
        <v/>
      </c>
      <c r="J376" s="76" t="str">
        <f>IF(OR($B376="",$G376="",$G376&lt;=0),"",COUNTIFS($B$6:$B376,$B376,$G$6:$G376,"&gt;0"))</f>
        <v/>
      </c>
      <c r="K376" s="75" t="str">
        <f>IF($J376="","",INDEX(الجزاءات!$E$6:$H$9,MATCH($G376,الجزاءات!$B$6:$B$9,1),MIN($J376,4)))</f>
        <v/>
      </c>
      <c r="L376" s="45"/>
    </row>
    <row r="377" spans="1:12" ht="15.75" customHeight="1" x14ac:dyDescent="0.35">
      <c r="A377" s="31"/>
      <c r="B377" s="30"/>
      <c r="C377" s="72" t="str">
        <f>IF($B377="","",IFERROR(INDEX(الموظفون!$C$6:$C$45,MATCH($B377,الموظفون!$B$6:$B$45,0)),""))</f>
        <v/>
      </c>
      <c r="D377" s="73" t="str">
        <f>IF($B377="","",IFERROR(INDEX(الموظفون!$M$6:$M$45,MATCH($B377,الموظفون!$B$6:$B$45,0)),""))</f>
        <v/>
      </c>
      <c r="E377" s="49"/>
      <c r="F377" s="49"/>
      <c r="G377" s="74" t="str">
        <f t="shared" si="10"/>
        <v/>
      </c>
      <c r="H377" s="75" t="str">
        <f t="shared" si="11"/>
        <v/>
      </c>
      <c r="I377" s="75" t="str">
        <f>IF($H377="","",MAX(0,ROUND($H377-الإعدادات!$C$24-الإعدادات!$C$27,2)))</f>
        <v/>
      </c>
      <c r="J377" s="76" t="str">
        <f>IF(OR($B377="",$G377="",$G377&lt;=0),"",COUNTIFS($B$6:$B377,$B377,$G$6:$G377,"&gt;0"))</f>
        <v/>
      </c>
      <c r="K377" s="75" t="str">
        <f>IF($J377="","",INDEX(الجزاءات!$E$6:$H$9,MATCH($G377,الجزاءات!$B$6:$B$9,1),MIN($J377,4)))</f>
        <v/>
      </c>
      <c r="L377" s="45"/>
    </row>
    <row r="378" spans="1:12" ht="15.75" customHeight="1" x14ac:dyDescent="0.35">
      <c r="A378" s="31"/>
      <c r="B378" s="30"/>
      <c r="C378" s="72" t="str">
        <f>IF($B378="","",IFERROR(INDEX(الموظفون!$C$6:$C$45,MATCH($B378,الموظفون!$B$6:$B$45,0)),""))</f>
        <v/>
      </c>
      <c r="D378" s="73" t="str">
        <f>IF($B378="","",IFERROR(INDEX(الموظفون!$M$6:$M$45,MATCH($B378,الموظفون!$B$6:$B$45,0)),""))</f>
        <v/>
      </c>
      <c r="E378" s="49"/>
      <c r="F378" s="49"/>
      <c r="G378" s="74" t="str">
        <f t="shared" si="10"/>
        <v/>
      </c>
      <c r="H378" s="75" t="str">
        <f t="shared" si="11"/>
        <v/>
      </c>
      <c r="I378" s="75" t="str">
        <f>IF($H378="","",MAX(0,ROUND($H378-الإعدادات!$C$24-الإعدادات!$C$27,2)))</f>
        <v/>
      </c>
      <c r="J378" s="76" t="str">
        <f>IF(OR($B378="",$G378="",$G378&lt;=0),"",COUNTIFS($B$6:$B378,$B378,$G$6:$G378,"&gt;0"))</f>
        <v/>
      </c>
      <c r="K378" s="75" t="str">
        <f>IF($J378="","",INDEX(الجزاءات!$E$6:$H$9,MATCH($G378,الجزاءات!$B$6:$B$9,1),MIN($J378,4)))</f>
        <v/>
      </c>
      <c r="L378" s="45"/>
    </row>
    <row r="379" spans="1:12" ht="15.75" customHeight="1" x14ac:dyDescent="0.35">
      <c r="A379" s="31"/>
      <c r="B379" s="30"/>
      <c r="C379" s="72" t="str">
        <f>IF($B379="","",IFERROR(INDEX(الموظفون!$C$6:$C$45,MATCH($B379,الموظفون!$B$6:$B$45,0)),""))</f>
        <v/>
      </c>
      <c r="D379" s="73" t="str">
        <f>IF($B379="","",IFERROR(INDEX(الموظفون!$M$6:$M$45,MATCH($B379,الموظفون!$B$6:$B$45,0)),""))</f>
        <v/>
      </c>
      <c r="E379" s="49"/>
      <c r="F379" s="49"/>
      <c r="G379" s="74" t="str">
        <f t="shared" si="10"/>
        <v/>
      </c>
      <c r="H379" s="75" t="str">
        <f t="shared" si="11"/>
        <v/>
      </c>
      <c r="I379" s="75" t="str">
        <f>IF($H379="","",MAX(0,ROUND($H379-الإعدادات!$C$24-الإعدادات!$C$27,2)))</f>
        <v/>
      </c>
      <c r="J379" s="76" t="str">
        <f>IF(OR($B379="",$G379="",$G379&lt;=0),"",COUNTIFS($B$6:$B379,$B379,$G$6:$G379,"&gt;0"))</f>
        <v/>
      </c>
      <c r="K379" s="75" t="str">
        <f>IF($J379="","",INDEX(الجزاءات!$E$6:$H$9,MATCH($G379,الجزاءات!$B$6:$B$9,1),MIN($J379,4)))</f>
        <v/>
      </c>
      <c r="L379" s="45"/>
    </row>
    <row r="380" spans="1:12" ht="15.75" customHeight="1" x14ac:dyDescent="0.35">
      <c r="A380" s="31"/>
      <c r="B380" s="30"/>
      <c r="C380" s="72" t="str">
        <f>IF($B380="","",IFERROR(INDEX(الموظفون!$C$6:$C$45,MATCH($B380,الموظفون!$B$6:$B$45,0)),""))</f>
        <v/>
      </c>
      <c r="D380" s="73" t="str">
        <f>IF($B380="","",IFERROR(INDEX(الموظفون!$M$6:$M$45,MATCH($B380,الموظفون!$B$6:$B$45,0)),""))</f>
        <v/>
      </c>
      <c r="E380" s="49"/>
      <c r="F380" s="49"/>
      <c r="G380" s="74" t="str">
        <f t="shared" si="10"/>
        <v/>
      </c>
      <c r="H380" s="75" t="str">
        <f t="shared" si="11"/>
        <v/>
      </c>
      <c r="I380" s="75" t="str">
        <f>IF($H380="","",MAX(0,ROUND($H380-الإعدادات!$C$24-الإعدادات!$C$27,2)))</f>
        <v/>
      </c>
      <c r="J380" s="76" t="str">
        <f>IF(OR($B380="",$G380="",$G380&lt;=0),"",COUNTIFS($B$6:$B380,$B380,$G$6:$G380,"&gt;0"))</f>
        <v/>
      </c>
      <c r="K380" s="75" t="str">
        <f>IF($J380="","",INDEX(الجزاءات!$E$6:$H$9,MATCH($G380,الجزاءات!$B$6:$B$9,1),MIN($J380,4)))</f>
        <v/>
      </c>
      <c r="L380" s="45"/>
    </row>
    <row r="381" spans="1:12" ht="15.75" customHeight="1" x14ac:dyDescent="0.35">
      <c r="A381" s="31"/>
      <c r="B381" s="30"/>
      <c r="C381" s="72" t="str">
        <f>IF($B381="","",IFERROR(INDEX(الموظفون!$C$6:$C$45,MATCH($B381,الموظفون!$B$6:$B$45,0)),""))</f>
        <v/>
      </c>
      <c r="D381" s="73" t="str">
        <f>IF($B381="","",IFERROR(INDEX(الموظفون!$M$6:$M$45,MATCH($B381,الموظفون!$B$6:$B$45,0)),""))</f>
        <v/>
      </c>
      <c r="E381" s="49"/>
      <c r="F381" s="49"/>
      <c r="G381" s="74" t="str">
        <f t="shared" si="10"/>
        <v/>
      </c>
      <c r="H381" s="75" t="str">
        <f t="shared" si="11"/>
        <v/>
      </c>
      <c r="I381" s="75" t="str">
        <f>IF($H381="","",MAX(0,ROUND($H381-الإعدادات!$C$24-الإعدادات!$C$27,2)))</f>
        <v/>
      </c>
      <c r="J381" s="76" t="str">
        <f>IF(OR($B381="",$G381="",$G381&lt;=0),"",COUNTIFS($B$6:$B381,$B381,$G$6:$G381,"&gt;0"))</f>
        <v/>
      </c>
      <c r="K381" s="75" t="str">
        <f>IF($J381="","",INDEX(الجزاءات!$E$6:$H$9,MATCH($G381,الجزاءات!$B$6:$B$9,1),MIN($J381,4)))</f>
        <v/>
      </c>
      <c r="L381" s="45"/>
    </row>
    <row r="382" spans="1:12" ht="15.75" customHeight="1" x14ac:dyDescent="0.35">
      <c r="A382" s="31"/>
      <c r="B382" s="30"/>
      <c r="C382" s="72" t="str">
        <f>IF($B382="","",IFERROR(INDEX(الموظفون!$C$6:$C$45,MATCH($B382,الموظفون!$B$6:$B$45,0)),""))</f>
        <v/>
      </c>
      <c r="D382" s="73" t="str">
        <f>IF($B382="","",IFERROR(INDEX(الموظفون!$M$6:$M$45,MATCH($B382,الموظفون!$B$6:$B$45,0)),""))</f>
        <v/>
      </c>
      <c r="E382" s="49"/>
      <c r="F382" s="49"/>
      <c r="G382" s="74" t="str">
        <f t="shared" si="10"/>
        <v/>
      </c>
      <c r="H382" s="75" t="str">
        <f t="shared" si="11"/>
        <v/>
      </c>
      <c r="I382" s="75" t="str">
        <f>IF($H382="","",MAX(0,ROUND($H382-الإعدادات!$C$24-الإعدادات!$C$27,2)))</f>
        <v/>
      </c>
      <c r="J382" s="76" t="str">
        <f>IF(OR($B382="",$G382="",$G382&lt;=0),"",COUNTIFS($B$6:$B382,$B382,$G$6:$G382,"&gt;0"))</f>
        <v/>
      </c>
      <c r="K382" s="75" t="str">
        <f>IF($J382="","",INDEX(الجزاءات!$E$6:$H$9,MATCH($G382,الجزاءات!$B$6:$B$9,1),MIN($J382,4)))</f>
        <v/>
      </c>
      <c r="L382" s="45"/>
    </row>
    <row r="383" spans="1:12" ht="15.75" customHeight="1" x14ac:dyDescent="0.35">
      <c r="A383" s="31"/>
      <c r="B383" s="30"/>
      <c r="C383" s="72" t="str">
        <f>IF($B383="","",IFERROR(INDEX(الموظفون!$C$6:$C$45,MATCH($B383,الموظفون!$B$6:$B$45,0)),""))</f>
        <v/>
      </c>
      <c r="D383" s="73" t="str">
        <f>IF($B383="","",IFERROR(INDEX(الموظفون!$M$6:$M$45,MATCH($B383,الموظفون!$B$6:$B$45,0)),""))</f>
        <v/>
      </c>
      <c r="E383" s="49"/>
      <c r="F383" s="49"/>
      <c r="G383" s="74" t="str">
        <f t="shared" si="10"/>
        <v/>
      </c>
      <c r="H383" s="75" t="str">
        <f t="shared" si="11"/>
        <v/>
      </c>
      <c r="I383" s="75" t="str">
        <f>IF($H383="","",MAX(0,ROUND($H383-الإعدادات!$C$24-الإعدادات!$C$27,2)))</f>
        <v/>
      </c>
      <c r="J383" s="76" t="str">
        <f>IF(OR($B383="",$G383="",$G383&lt;=0),"",COUNTIFS($B$6:$B383,$B383,$G$6:$G383,"&gt;0"))</f>
        <v/>
      </c>
      <c r="K383" s="75" t="str">
        <f>IF($J383="","",INDEX(الجزاءات!$E$6:$H$9,MATCH($G383,الجزاءات!$B$6:$B$9,1),MIN($J383,4)))</f>
        <v/>
      </c>
      <c r="L383" s="45"/>
    </row>
    <row r="384" spans="1:12" ht="15.75" customHeight="1" x14ac:dyDescent="0.35">
      <c r="A384" s="31"/>
      <c r="B384" s="30"/>
      <c r="C384" s="72" t="str">
        <f>IF($B384="","",IFERROR(INDEX(الموظفون!$C$6:$C$45,MATCH($B384,الموظفون!$B$6:$B$45,0)),""))</f>
        <v/>
      </c>
      <c r="D384" s="73" t="str">
        <f>IF($B384="","",IFERROR(INDEX(الموظفون!$M$6:$M$45,MATCH($B384,الموظفون!$B$6:$B$45,0)),""))</f>
        <v/>
      </c>
      <c r="E384" s="49"/>
      <c r="F384" s="49"/>
      <c r="G384" s="74" t="str">
        <f t="shared" si="10"/>
        <v/>
      </c>
      <c r="H384" s="75" t="str">
        <f t="shared" si="11"/>
        <v/>
      </c>
      <c r="I384" s="75" t="str">
        <f>IF($H384="","",MAX(0,ROUND($H384-الإعدادات!$C$24-الإعدادات!$C$27,2)))</f>
        <v/>
      </c>
      <c r="J384" s="76" t="str">
        <f>IF(OR($B384="",$G384="",$G384&lt;=0),"",COUNTIFS($B$6:$B384,$B384,$G$6:$G384,"&gt;0"))</f>
        <v/>
      </c>
      <c r="K384" s="75" t="str">
        <f>IF($J384="","",INDEX(الجزاءات!$E$6:$H$9,MATCH($G384,الجزاءات!$B$6:$B$9,1),MIN($J384,4)))</f>
        <v/>
      </c>
      <c r="L384" s="45"/>
    </row>
    <row r="385" spans="1:12" ht="15.75" customHeight="1" x14ac:dyDescent="0.35">
      <c r="A385" s="31"/>
      <c r="B385" s="30"/>
      <c r="C385" s="72" t="str">
        <f>IF($B385="","",IFERROR(INDEX(الموظفون!$C$6:$C$45,MATCH($B385,الموظفون!$B$6:$B$45,0)),""))</f>
        <v/>
      </c>
      <c r="D385" s="73" t="str">
        <f>IF($B385="","",IFERROR(INDEX(الموظفون!$M$6:$M$45,MATCH($B385,الموظفون!$B$6:$B$45,0)),""))</f>
        <v/>
      </c>
      <c r="E385" s="49"/>
      <c r="F385" s="49"/>
      <c r="G385" s="74" t="str">
        <f t="shared" si="10"/>
        <v/>
      </c>
      <c r="H385" s="75" t="str">
        <f t="shared" si="11"/>
        <v/>
      </c>
      <c r="I385" s="75" t="str">
        <f>IF($H385="","",MAX(0,ROUND($H385-الإعدادات!$C$24-الإعدادات!$C$27,2)))</f>
        <v/>
      </c>
      <c r="J385" s="76" t="str">
        <f>IF(OR($B385="",$G385="",$G385&lt;=0),"",COUNTIFS($B$6:$B385,$B385,$G$6:$G385,"&gt;0"))</f>
        <v/>
      </c>
      <c r="K385" s="75" t="str">
        <f>IF($J385="","",INDEX(الجزاءات!$E$6:$H$9,MATCH($G385,الجزاءات!$B$6:$B$9,1),MIN($J385,4)))</f>
        <v/>
      </c>
      <c r="L385" s="45"/>
    </row>
    <row r="386" spans="1:12" ht="15.75" customHeight="1" x14ac:dyDescent="0.35">
      <c r="A386" s="31"/>
      <c r="B386" s="30"/>
      <c r="C386" s="72" t="str">
        <f>IF($B386="","",IFERROR(INDEX(الموظفون!$C$6:$C$45,MATCH($B386,الموظفون!$B$6:$B$45,0)),""))</f>
        <v/>
      </c>
      <c r="D386" s="73" t="str">
        <f>IF($B386="","",IFERROR(INDEX(الموظفون!$M$6:$M$45,MATCH($B386,الموظفون!$B$6:$B$45,0)),""))</f>
        <v/>
      </c>
      <c r="E386" s="49"/>
      <c r="F386" s="49"/>
      <c r="G386" s="74" t="str">
        <f t="shared" si="10"/>
        <v/>
      </c>
      <c r="H386" s="75" t="str">
        <f t="shared" si="11"/>
        <v/>
      </c>
      <c r="I386" s="75" t="str">
        <f>IF($H386="","",MAX(0,ROUND($H386-الإعدادات!$C$24-الإعدادات!$C$27,2)))</f>
        <v/>
      </c>
      <c r="J386" s="76" t="str">
        <f>IF(OR($B386="",$G386="",$G386&lt;=0),"",COUNTIFS($B$6:$B386,$B386,$G$6:$G386,"&gt;0"))</f>
        <v/>
      </c>
      <c r="K386" s="75" t="str">
        <f>IF($J386="","",INDEX(الجزاءات!$E$6:$H$9,MATCH($G386,الجزاءات!$B$6:$B$9,1),MIN($J386,4)))</f>
        <v/>
      </c>
      <c r="L386" s="45"/>
    </row>
    <row r="387" spans="1:12" ht="15.75" customHeight="1" x14ac:dyDescent="0.35">
      <c r="A387" s="31"/>
      <c r="B387" s="30"/>
      <c r="C387" s="72" t="str">
        <f>IF($B387="","",IFERROR(INDEX(الموظفون!$C$6:$C$45,MATCH($B387,الموظفون!$B$6:$B$45,0)),""))</f>
        <v/>
      </c>
      <c r="D387" s="73" t="str">
        <f>IF($B387="","",IFERROR(INDEX(الموظفون!$M$6:$M$45,MATCH($B387,الموظفون!$B$6:$B$45,0)),""))</f>
        <v/>
      </c>
      <c r="E387" s="49"/>
      <c r="F387" s="49"/>
      <c r="G387" s="74" t="str">
        <f t="shared" si="10"/>
        <v/>
      </c>
      <c r="H387" s="75" t="str">
        <f t="shared" si="11"/>
        <v/>
      </c>
      <c r="I387" s="75" t="str">
        <f>IF($H387="","",MAX(0,ROUND($H387-الإعدادات!$C$24-الإعدادات!$C$27,2)))</f>
        <v/>
      </c>
      <c r="J387" s="76" t="str">
        <f>IF(OR($B387="",$G387="",$G387&lt;=0),"",COUNTIFS($B$6:$B387,$B387,$G$6:$G387,"&gt;0"))</f>
        <v/>
      </c>
      <c r="K387" s="75" t="str">
        <f>IF($J387="","",INDEX(الجزاءات!$E$6:$H$9,MATCH($G387,الجزاءات!$B$6:$B$9,1),MIN($J387,4)))</f>
        <v/>
      </c>
      <c r="L387" s="45"/>
    </row>
    <row r="388" spans="1:12" ht="15.75" customHeight="1" x14ac:dyDescent="0.35">
      <c r="A388" s="31"/>
      <c r="B388" s="30"/>
      <c r="C388" s="72" t="str">
        <f>IF($B388="","",IFERROR(INDEX(الموظفون!$C$6:$C$45,MATCH($B388,الموظفون!$B$6:$B$45,0)),""))</f>
        <v/>
      </c>
      <c r="D388" s="73" t="str">
        <f>IF($B388="","",IFERROR(INDEX(الموظفون!$M$6:$M$45,MATCH($B388,الموظفون!$B$6:$B$45,0)),""))</f>
        <v/>
      </c>
      <c r="E388" s="49"/>
      <c r="F388" s="49"/>
      <c r="G388" s="74" t="str">
        <f t="shared" si="10"/>
        <v/>
      </c>
      <c r="H388" s="75" t="str">
        <f t="shared" si="11"/>
        <v/>
      </c>
      <c r="I388" s="75" t="str">
        <f>IF($H388="","",MAX(0,ROUND($H388-الإعدادات!$C$24-الإعدادات!$C$27,2)))</f>
        <v/>
      </c>
      <c r="J388" s="76" t="str">
        <f>IF(OR($B388="",$G388="",$G388&lt;=0),"",COUNTIFS($B$6:$B388,$B388,$G$6:$G388,"&gt;0"))</f>
        <v/>
      </c>
      <c r="K388" s="75" t="str">
        <f>IF($J388="","",INDEX(الجزاءات!$E$6:$H$9,MATCH($G388,الجزاءات!$B$6:$B$9,1),MIN($J388,4)))</f>
        <v/>
      </c>
      <c r="L388" s="45"/>
    </row>
    <row r="389" spans="1:12" ht="15.75" customHeight="1" x14ac:dyDescent="0.35">
      <c r="A389" s="31"/>
      <c r="B389" s="30"/>
      <c r="C389" s="72" t="str">
        <f>IF($B389="","",IFERROR(INDEX(الموظفون!$C$6:$C$45,MATCH($B389,الموظفون!$B$6:$B$45,0)),""))</f>
        <v/>
      </c>
      <c r="D389" s="73" t="str">
        <f>IF($B389="","",IFERROR(INDEX(الموظفون!$M$6:$M$45,MATCH($B389,الموظفون!$B$6:$B$45,0)),""))</f>
        <v/>
      </c>
      <c r="E389" s="49"/>
      <c r="F389" s="49"/>
      <c r="G389" s="74" t="str">
        <f t="shared" si="10"/>
        <v/>
      </c>
      <c r="H389" s="75" t="str">
        <f t="shared" si="11"/>
        <v/>
      </c>
      <c r="I389" s="75" t="str">
        <f>IF($H389="","",MAX(0,ROUND($H389-الإعدادات!$C$24-الإعدادات!$C$27,2)))</f>
        <v/>
      </c>
      <c r="J389" s="76" t="str">
        <f>IF(OR($B389="",$G389="",$G389&lt;=0),"",COUNTIFS($B$6:$B389,$B389,$G$6:$G389,"&gt;0"))</f>
        <v/>
      </c>
      <c r="K389" s="75" t="str">
        <f>IF($J389="","",INDEX(الجزاءات!$E$6:$H$9,MATCH($G389,الجزاءات!$B$6:$B$9,1),MIN($J389,4)))</f>
        <v/>
      </c>
      <c r="L389" s="45"/>
    </row>
    <row r="390" spans="1:12" ht="15.75" customHeight="1" x14ac:dyDescent="0.35">
      <c r="A390" s="31"/>
      <c r="B390" s="30"/>
      <c r="C390" s="72" t="str">
        <f>IF($B390="","",IFERROR(INDEX(الموظفون!$C$6:$C$45,MATCH($B390,الموظفون!$B$6:$B$45,0)),""))</f>
        <v/>
      </c>
      <c r="D390" s="73" t="str">
        <f>IF($B390="","",IFERROR(INDEX(الموظفون!$M$6:$M$45,MATCH($B390,الموظفون!$B$6:$B$45,0)),""))</f>
        <v/>
      </c>
      <c r="E390" s="49"/>
      <c r="F390" s="49"/>
      <c r="G390" s="74" t="str">
        <f t="shared" ref="G390:G405" si="12">IF(OR($B390="",$E390="",$D390=""),"",MAX(0,ROUND(($E390-$D390)*1440,0)))</f>
        <v/>
      </c>
      <c r="H390" s="75" t="str">
        <f t="shared" ref="H390:H405" si="13">IF(OR($E390="",$F390=""),"",ROUND(($F390-$E390)*24,2))</f>
        <v/>
      </c>
      <c r="I390" s="75" t="str">
        <f>IF($H390="","",MAX(0,ROUND($H390-الإعدادات!$C$24-الإعدادات!$C$27,2)))</f>
        <v/>
      </c>
      <c r="J390" s="76" t="str">
        <f>IF(OR($B390="",$G390="",$G390&lt;=0),"",COUNTIFS($B$6:$B390,$B390,$G$6:$G390,"&gt;0"))</f>
        <v/>
      </c>
      <c r="K390" s="75" t="str">
        <f>IF($J390="","",INDEX(الجزاءات!$E$6:$H$9,MATCH($G390,الجزاءات!$B$6:$B$9,1),MIN($J390,4)))</f>
        <v/>
      </c>
      <c r="L390" s="45"/>
    </row>
    <row r="391" spans="1:12" ht="15.75" customHeight="1" x14ac:dyDescent="0.35">
      <c r="A391" s="31"/>
      <c r="B391" s="30"/>
      <c r="C391" s="72" t="str">
        <f>IF($B391="","",IFERROR(INDEX(الموظفون!$C$6:$C$45,MATCH($B391,الموظفون!$B$6:$B$45,0)),""))</f>
        <v/>
      </c>
      <c r="D391" s="73" t="str">
        <f>IF($B391="","",IFERROR(INDEX(الموظفون!$M$6:$M$45,MATCH($B391,الموظفون!$B$6:$B$45,0)),""))</f>
        <v/>
      </c>
      <c r="E391" s="49"/>
      <c r="F391" s="49"/>
      <c r="G391" s="74" t="str">
        <f t="shared" si="12"/>
        <v/>
      </c>
      <c r="H391" s="75" t="str">
        <f t="shared" si="13"/>
        <v/>
      </c>
      <c r="I391" s="75" t="str">
        <f>IF($H391="","",MAX(0,ROUND($H391-الإعدادات!$C$24-الإعدادات!$C$27,2)))</f>
        <v/>
      </c>
      <c r="J391" s="76" t="str">
        <f>IF(OR($B391="",$G391="",$G391&lt;=0),"",COUNTIFS($B$6:$B391,$B391,$G$6:$G391,"&gt;0"))</f>
        <v/>
      </c>
      <c r="K391" s="75" t="str">
        <f>IF($J391="","",INDEX(الجزاءات!$E$6:$H$9,MATCH($G391,الجزاءات!$B$6:$B$9,1),MIN($J391,4)))</f>
        <v/>
      </c>
      <c r="L391" s="45"/>
    </row>
    <row r="392" spans="1:12" ht="15.75" customHeight="1" x14ac:dyDescent="0.35">
      <c r="A392" s="31"/>
      <c r="B392" s="30"/>
      <c r="C392" s="72" t="str">
        <f>IF($B392="","",IFERROR(INDEX(الموظفون!$C$6:$C$45,MATCH($B392,الموظفون!$B$6:$B$45,0)),""))</f>
        <v/>
      </c>
      <c r="D392" s="73" t="str">
        <f>IF($B392="","",IFERROR(INDEX(الموظفون!$M$6:$M$45,MATCH($B392,الموظفون!$B$6:$B$45,0)),""))</f>
        <v/>
      </c>
      <c r="E392" s="49"/>
      <c r="F392" s="49"/>
      <c r="G392" s="74" t="str">
        <f t="shared" si="12"/>
        <v/>
      </c>
      <c r="H392" s="75" t="str">
        <f t="shared" si="13"/>
        <v/>
      </c>
      <c r="I392" s="75" t="str">
        <f>IF($H392="","",MAX(0,ROUND($H392-الإعدادات!$C$24-الإعدادات!$C$27,2)))</f>
        <v/>
      </c>
      <c r="J392" s="76" t="str">
        <f>IF(OR($B392="",$G392="",$G392&lt;=0),"",COUNTIFS($B$6:$B392,$B392,$G$6:$G392,"&gt;0"))</f>
        <v/>
      </c>
      <c r="K392" s="75" t="str">
        <f>IF($J392="","",INDEX(الجزاءات!$E$6:$H$9,MATCH($G392,الجزاءات!$B$6:$B$9,1),MIN($J392,4)))</f>
        <v/>
      </c>
      <c r="L392" s="45"/>
    </row>
    <row r="393" spans="1:12" ht="15.75" customHeight="1" x14ac:dyDescent="0.35">
      <c r="A393" s="31"/>
      <c r="B393" s="30"/>
      <c r="C393" s="72" t="str">
        <f>IF($B393="","",IFERROR(INDEX(الموظفون!$C$6:$C$45,MATCH($B393,الموظفون!$B$6:$B$45,0)),""))</f>
        <v/>
      </c>
      <c r="D393" s="73" t="str">
        <f>IF($B393="","",IFERROR(INDEX(الموظفون!$M$6:$M$45,MATCH($B393,الموظفون!$B$6:$B$45,0)),""))</f>
        <v/>
      </c>
      <c r="E393" s="49"/>
      <c r="F393" s="49"/>
      <c r="G393" s="74" t="str">
        <f t="shared" si="12"/>
        <v/>
      </c>
      <c r="H393" s="75" t="str">
        <f t="shared" si="13"/>
        <v/>
      </c>
      <c r="I393" s="75" t="str">
        <f>IF($H393="","",MAX(0,ROUND($H393-الإعدادات!$C$24-الإعدادات!$C$27,2)))</f>
        <v/>
      </c>
      <c r="J393" s="76" t="str">
        <f>IF(OR($B393="",$G393="",$G393&lt;=0),"",COUNTIFS($B$6:$B393,$B393,$G$6:$G393,"&gt;0"))</f>
        <v/>
      </c>
      <c r="K393" s="75" t="str">
        <f>IF($J393="","",INDEX(الجزاءات!$E$6:$H$9,MATCH($G393,الجزاءات!$B$6:$B$9,1),MIN($J393,4)))</f>
        <v/>
      </c>
      <c r="L393" s="45"/>
    </row>
    <row r="394" spans="1:12" ht="15.75" customHeight="1" x14ac:dyDescent="0.35">
      <c r="A394" s="31"/>
      <c r="B394" s="30"/>
      <c r="C394" s="72" t="str">
        <f>IF($B394="","",IFERROR(INDEX(الموظفون!$C$6:$C$45,MATCH($B394,الموظفون!$B$6:$B$45,0)),""))</f>
        <v/>
      </c>
      <c r="D394" s="73" t="str">
        <f>IF($B394="","",IFERROR(INDEX(الموظفون!$M$6:$M$45,MATCH($B394,الموظفون!$B$6:$B$45,0)),""))</f>
        <v/>
      </c>
      <c r="E394" s="49"/>
      <c r="F394" s="49"/>
      <c r="G394" s="74" t="str">
        <f t="shared" si="12"/>
        <v/>
      </c>
      <c r="H394" s="75" t="str">
        <f t="shared" si="13"/>
        <v/>
      </c>
      <c r="I394" s="75" t="str">
        <f>IF($H394="","",MAX(0,ROUND($H394-الإعدادات!$C$24-الإعدادات!$C$27,2)))</f>
        <v/>
      </c>
      <c r="J394" s="76" t="str">
        <f>IF(OR($B394="",$G394="",$G394&lt;=0),"",COUNTIFS($B$6:$B394,$B394,$G$6:$G394,"&gt;0"))</f>
        <v/>
      </c>
      <c r="K394" s="75" t="str">
        <f>IF($J394="","",INDEX(الجزاءات!$E$6:$H$9,MATCH($G394,الجزاءات!$B$6:$B$9,1),MIN($J394,4)))</f>
        <v/>
      </c>
      <c r="L394" s="45"/>
    </row>
    <row r="395" spans="1:12" ht="15.75" customHeight="1" x14ac:dyDescent="0.35">
      <c r="A395" s="31"/>
      <c r="B395" s="30"/>
      <c r="C395" s="72" t="str">
        <f>IF($B395="","",IFERROR(INDEX(الموظفون!$C$6:$C$45,MATCH($B395,الموظفون!$B$6:$B$45,0)),""))</f>
        <v/>
      </c>
      <c r="D395" s="73" t="str">
        <f>IF($B395="","",IFERROR(INDEX(الموظفون!$M$6:$M$45,MATCH($B395,الموظفون!$B$6:$B$45,0)),""))</f>
        <v/>
      </c>
      <c r="E395" s="49"/>
      <c r="F395" s="49"/>
      <c r="G395" s="74" t="str">
        <f t="shared" si="12"/>
        <v/>
      </c>
      <c r="H395" s="75" t="str">
        <f t="shared" si="13"/>
        <v/>
      </c>
      <c r="I395" s="75" t="str">
        <f>IF($H395="","",MAX(0,ROUND($H395-الإعدادات!$C$24-الإعدادات!$C$27,2)))</f>
        <v/>
      </c>
      <c r="J395" s="76" t="str">
        <f>IF(OR($B395="",$G395="",$G395&lt;=0),"",COUNTIFS($B$6:$B395,$B395,$G$6:$G395,"&gt;0"))</f>
        <v/>
      </c>
      <c r="K395" s="75" t="str">
        <f>IF($J395="","",INDEX(الجزاءات!$E$6:$H$9,MATCH($G395,الجزاءات!$B$6:$B$9,1),MIN($J395,4)))</f>
        <v/>
      </c>
      <c r="L395" s="45"/>
    </row>
    <row r="396" spans="1:12" ht="15.75" customHeight="1" x14ac:dyDescent="0.35">
      <c r="A396" s="31"/>
      <c r="B396" s="30"/>
      <c r="C396" s="72" t="str">
        <f>IF($B396="","",IFERROR(INDEX(الموظفون!$C$6:$C$45,MATCH($B396,الموظفون!$B$6:$B$45,0)),""))</f>
        <v/>
      </c>
      <c r="D396" s="73" t="str">
        <f>IF($B396="","",IFERROR(INDEX(الموظفون!$M$6:$M$45,MATCH($B396,الموظفون!$B$6:$B$45,0)),""))</f>
        <v/>
      </c>
      <c r="E396" s="49"/>
      <c r="F396" s="49"/>
      <c r="G396" s="74" t="str">
        <f t="shared" si="12"/>
        <v/>
      </c>
      <c r="H396" s="75" t="str">
        <f t="shared" si="13"/>
        <v/>
      </c>
      <c r="I396" s="75" t="str">
        <f>IF($H396="","",MAX(0,ROUND($H396-الإعدادات!$C$24-الإعدادات!$C$27,2)))</f>
        <v/>
      </c>
      <c r="J396" s="76" t="str">
        <f>IF(OR($B396="",$G396="",$G396&lt;=0),"",COUNTIFS($B$6:$B396,$B396,$G$6:$G396,"&gt;0"))</f>
        <v/>
      </c>
      <c r="K396" s="75" t="str">
        <f>IF($J396="","",INDEX(الجزاءات!$E$6:$H$9,MATCH($G396,الجزاءات!$B$6:$B$9,1),MIN($J396,4)))</f>
        <v/>
      </c>
      <c r="L396" s="45"/>
    </row>
    <row r="397" spans="1:12" ht="15.75" customHeight="1" x14ac:dyDescent="0.35">
      <c r="A397" s="31"/>
      <c r="B397" s="30"/>
      <c r="C397" s="72" t="str">
        <f>IF($B397="","",IFERROR(INDEX(الموظفون!$C$6:$C$45,MATCH($B397,الموظفون!$B$6:$B$45,0)),""))</f>
        <v/>
      </c>
      <c r="D397" s="73" t="str">
        <f>IF($B397="","",IFERROR(INDEX(الموظفون!$M$6:$M$45,MATCH($B397,الموظفون!$B$6:$B$45,0)),""))</f>
        <v/>
      </c>
      <c r="E397" s="49"/>
      <c r="F397" s="49"/>
      <c r="G397" s="74" t="str">
        <f t="shared" si="12"/>
        <v/>
      </c>
      <c r="H397" s="75" t="str">
        <f t="shared" si="13"/>
        <v/>
      </c>
      <c r="I397" s="75" t="str">
        <f>IF($H397="","",MAX(0,ROUND($H397-الإعدادات!$C$24-الإعدادات!$C$27,2)))</f>
        <v/>
      </c>
      <c r="J397" s="76" t="str">
        <f>IF(OR($B397="",$G397="",$G397&lt;=0),"",COUNTIFS($B$6:$B397,$B397,$G$6:$G397,"&gt;0"))</f>
        <v/>
      </c>
      <c r="K397" s="75" t="str">
        <f>IF($J397="","",INDEX(الجزاءات!$E$6:$H$9,MATCH($G397,الجزاءات!$B$6:$B$9,1),MIN($J397,4)))</f>
        <v/>
      </c>
      <c r="L397" s="45"/>
    </row>
    <row r="398" spans="1:12" ht="15.75" customHeight="1" x14ac:dyDescent="0.35">
      <c r="A398" s="31"/>
      <c r="B398" s="30"/>
      <c r="C398" s="72" t="str">
        <f>IF($B398="","",IFERROR(INDEX(الموظفون!$C$6:$C$45,MATCH($B398,الموظفون!$B$6:$B$45,0)),""))</f>
        <v/>
      </c>
      <c r="D398" s="73" t="str">
        <f>IF($B398="","",IFERROR(INDEX(الموظفون!$M$6:$M$45,MATCH($B398,الموظفون!$B$6:$B$45,0)),""))</f>
        <v/>
      </c>
      <c r="E398" s="49"/>
      <c r="F398" s="49"/>
      <c r="G398" s="74" t="str">
        <f t="shared" si="12"/>
        <v/>
      </c>
      <c r="H398" s="75" t="str">
        <f t="shared" si="13"/>
        <v/>
      </c>
      <c r="I398" s="75" t="str">
        <f>IF($H398="","",MAX(0,ROUND($H398-الإعدادات!$C$24-الإعدادات!$C$27,2)))</f>
        <v/>
      </c>
      <c r="J398" s="76" t="str">
        <f>IF(OR($B398="",$G398="",$G398&lt;=0),"",COUNTIFS($B$6:$B398,$B398,$G$6:$G398,"&gt;0"))</f>
        <v/>
      </c>
      <c r="K398" s="75" t="str">
        <f>IF($J398="","",INDEX(الجزاءات!$E$6:$H$9,MATCH($G398,الجزاءات!$B$6:$B$9,1),MIN($J398,4)))</f>
        <v/>
      </c>
      <c r="L398" s="45"/>
    </row>
    <row r="399" spans="1:12" ht="15.75" customHeight="1" x14ac:dyDescent="0.35">
      <c r="A399" s="31"/>
      <c r="B399" s="30"/>
      <c r="C399" s="72" t="str">
        <f>IF($B399="","",IFERROR(INDEX(الموظفون!$C$6:$C$45,MATCH($B399,الموظفون!$B$6:$B$45,0)),""))</f>
        <v/>
      </c>
      <c r="D399" s="73" t="str">
        <f>IF($B399="","",IFERROR(INDEX(الموظفون!$M$6:$M$45,MATCH($B399,الموظفون!$B$6:$B$45,0)),""))</f>
        <v/>
      </c>
      <c r="E399" s="49"/>
      <c r="F399" s="49"/>
      <c r="G399" s="74" t="str">
        <f t="shared" si="12"/>
        <v/>
      </c>
      <c r="H399" s="75" t="str">
        <f t="shared" si="13"/>
        <v/>
      </c>
      <c r="I399" s="75" t="str">
        <f>IF($H399="","",MAX(0,ROUND($H399-الإعدادات!$C$24-الإعدادات!$C$27,2)))</f>
        <v/>
      </c>
      <c r="J399" s="76" t="str">
        <f>IF(OR($B399="",$G399="",$G399&lt;=0),"",COUNTIFS($B$6:$B399,$B399,$G$6:$G399,"&gt;0"))</f>
        <v/>
      </c>
      <c r="K399" s="75" t="str">
        <f>IF($J399="","",INDEX(الجزاءات!$E$6:$H$9,MATCH($G399,الجزاءات!$B$6:$B$9,1),MIN($J399,4)))</f>
        <v/>
      </c>
      <c r="L399" s="45"/>
    </row>
    <row r="400" spans="1:12" ht="15.75" customHeight="1" x14ac:dyDescent="0.35">
      <c r="A400" s="31"/>
      <c r="B400" s="30"/>
      <c r="C400" s="72" t="str">
        <f>IF($B400="","",IFERROR(INDEX(الموظفون!$C$6:$C$45,MATCH($B400,الموظفون!$B$6:$B$45,0)),""))</f>
        <v/>
      </c>
      <c r="D400" s="73" t="str">
        <f>IF($B400="","",IFERROR(INDEX(الموظفون!$M$6:$M$45,MATCH($B400,الموظفون!$B$6:$B$45,0)),""))</f>
        <v/>
      </c>
      <c r="E400" s="49"/>
      <c r="F400" s="49"/>
      <c r="G400" s="74" t="str">
        <f t="shared" si="12"/>
        <v/>
      </c>
      <c r="H400" s="75" t="str">
        <f t="shared" si="13"/>
        <v/>
      </c>
      <c r="I400" s="75" t="str">
        <f>IF($H400="","",MAX(0,ROUND($H400-الإعدادات!$C$24-الإعدادات!$C$27,2)))</f>
        <v/>
      </c>
      <c r="J400" s="76" t="str">
        <f>IF(OR($B400="",$G400="",$G400&lt;=0),"",COUNTIFS($B$6:$B400,$B400,$G$6:$G400,"&gt;0"))</f>
        <v/>
      </c>
      <c r="K400" s="75" t="str">
        <f>IF($J400="","",INDEX(الجزاءات!$E$6:$H$9,MATCH($G400,الجزاءات!$B$6:$B$9,1),MIN($J400,4)))</f>
        <v/>
      </c>
      <c r="L400" s="45"/>
    </row>
    <row r="401" spans="1:12" ht="15.75" customHeight="1" x14ac:dyDescent="0.35">
      <c r="A401" s="31"/>
      <c r="B401" s="30"/>
      <c r="C401" s="72" t="str">
        <f>IF($B401="","",IFERROR(INDEX(الموظفون!$C$6:$C$45,MATCH($B401,الموظفون!$B$6:$B$45,0)),""))</f>
        <v/>
      </c>
      <c r="D401" s="73" t="str">
        <f>IF($B401="","",IFERROR(INDEX(الموظفون!$M$6:$M$45,MATCH($B401,الموظفون!$B$6:$B$45,0)),""))</f>
        <v/>
      </c>
      <c r="E401" s="49"/>
      <c r="F401" s="49"/>
      <c r="G401" s="74" t="str">
        <f t="shared" si="12"/>
        <v/>
      </c>
      <c r="H401" s="75" t="str">
        <f t="shared" si="13"/>
        <v/>
      </c>
      <c r="I401" s="75" t="str">
        <f>IF($H401="","",MAX(0,ROUND($H401-الإعدادات!$C$24-الإعدادات!$C$27,2)))</f>
        <v/>
      </c>
      <c r="J401" s="76" t="str">
        <f>IF(OR($B401="",$G401="",$G401&lt;=0),"",COUNTIFS($B$6:$B401,$B401,$G$6:$G401,"&gt;0"))</f>
        <v/>
      </c>
      <c r="K401" s="75" t="str">
        <f>IF($J401="","",INDEX(الجزاءات!$E$6:$H$9,MATCH($G401,الجزاءات!$B$6:$B$9,1),MIN($J401,4)))</f>
        <v/>
      </c>
      <c r="L401" s="45"/>
    </row>
    <row r="402" spans="1:12" ht="15.75" customHeight="1" x14ac:dyDescent="0.35">
      <c r="A402" s="31"/>
      <c r="B402" s="30"/>
      <c r="C402" s="72" t="str">
        <f>IF($B402="","",IFERROR(INDEX(الموظفون!$C$6:$C$45,MATCH($B402,الموظفون!$B$6:$B$45,0)),""))</f>
        <v/>
      </c>
      <c r="D402" s="73" t="str">
        <f>IF($B402="","",IFERROR(INDEX(الموظفون!$M$6:$M$45,MATCH($B402,الموظفون!$B$6:$B$45,0)),""))</f>
        <v/>
      </c>
      <c r="E402" s="49"/>
      <c r="F402" s="49"/>
      <c r="G402" s="74" t="str">
        <f t="shared" si="12"/>
        <v/>
      </c>
      <c r="H402" s="75" t="str">
        <f t="shared" si="13"/>
        <v/>
      </c>
      <c r="I402" s="75" t="str">
        <f>IF($H402="","",MAX(0,ROUND($H402-الإعدادات!$C$24-الإعدادات!$C$27,2)))</f>
        <v/>
      </c>
      <c r="J402" s="76" t="str">
        <f>IF(OR($B402="",$G402="",$G402&lt;=0),"",COUNTIFS($B$6:$B402,$B402,$G$6:$G402,"&gt;0"))</f>
        <v/>
      </c>
      <c r="K402" s="75" t="str">
        <f>IF($J402="","",INDEX(الجزاءات!$E$6:$H$9,MATCH($G402,الجزاءات!$B$6:$B$9,1),MIN($J402,4)))</f>
        <v/>
      </c>
      <c r="L402" s="45"/>
    </row>
    <row r="403" spans="1:12" ht="15.75" customHeight="1" x14ac:dyDescent="0.35">
      <c r="A403" s="31"/>
      <c r="B403" s="30"/>
      <c r="C403" s="72" t="str">
        <f>IF($B403="","",IFERROR(INDEX(الموظفون!$C$6:$C$45,MATCH($B403,الموظفون!$B$6:$B$45,0)),""))</f>
        <v/>
      </c>
      <c r="D403" s="73" t="str">
        <f>IF($B403="","",IFERROR(INDEX(الموظفون!$M$6:$M$45,MATCH($B403,الموظفون!$B$6:$B$45,0)),""))</f>
        <v/>
      </c>
      <c r="E403" s="49"/>
      <c r="F403" s="49"/>
      <c r="G403" s="74" t="str">
        <f t="shared" si="12"/>
        <v/>
      </c>
      <c r="H403" s="75" t="str">
        <f t="shared" si="13"/>
        <v/>
      </c>
      <c r="I403" s="75" t="str">
        <f>IF($H403="","",MAX(0,ROUND($H403-الإعدادات!$C$24-الإعدادات!$C$27,2)))</f>
        <v/>
      </c>
      <c r="J403" s="76" t="str">
        <f>IF(OR($B403="",$G403="",$G403&lt;=0),"",COUNTIFS($B$6:$B403,$B403,$G$6:$G403,"&gt;0"))</f>
        <v/>
      </c>
      <c r="K403" s="75" t="str">
        <f>IF($J403="","",INDEX(الجزاءات!$E$6:$H$9,MATCH($G403,الجزاءات!$B$6:$B$9,1),MIN($J403,4)))</f>
        <v/>
      </c>
      <c r="L403" s="45"/>
    </row>
    <row r="404" spans="1:12" ht="15.75" customHeight="1" x14ac:dyDescent="0.35">
      <c r="A404" s="31"/>
      <c r="B404" s="30"/>
      <c r="C404" s="72" t="str">
        <f>IF($B404="","",IFERROR(INDEX(الموظفون!$C$6:$C$45,MATCH($B404,الموظفون!$B$6:$B$45,0)),""))</f>
        <v/>
      </c>
      <c r="D404" s="73" t="str">
        <f>IF($B404="","",IFERROR(INDEX(الموظفون!$M$6:$M$45,MATCH($B404,الموظفون!$B$6:$B$45,0)),""))</f>
        <v/>
      </c>
      <c r="E404" s="49"/>
      <c r="F404" s="49"/>
      <c r="G404" s="74" t="str">
        <f t="shared" si="12"/>
        <v/>
      </c>
      <c r="H404" s="75" t="str">
        <f t="shared" si="13"/>
        <v/>
      </c>
      <c r="I404" s="75" t="str">
        <f>IF($H404="","",MAX(0,ROUND($H404-الإعدادات!$C$24-الإعدادات!$C$27,2)))</f>
        <v/>
      </c>
      <c r="J404" s="76" t="str">
        <f>IF(OR($B404="",$G404="",$G404&lt;=0),"",COUNTIFS($B$6:$B404,$B404,$G$6:$G404,"&gt;0"))</f>
        <v/>
      </c>
      <c r="K404" s="75" t="str">
        <f>IF($J404="","",INDEX(الجزاءات!$E$6:$H$9,MATCH($G404,الجزاءات!$B$6:$B$9,1),MIN($J404,4)))</f>
        <v/>
      </c>
      <c r="L404" s="45"/>
    </row>
    <row r="405" spans="1:12" ht="15.75" customHeight="1" x14ac:dyDescent="0.35">
      <c r="A405" s="31"/>
      <c r="B405" s="30"/>
      <c r="C405" s="72" t="str">
        <f>IF($B405="","",IFERROR(INDEX(الموظفون!$C$6:$C$45,MATCH($B405,الموظفون!$B$6:$B$45,0)),""))</f>
        <v/>
      </c>
      <c r="D405" s="73" t="str">
        <f>IF($B405="","",IFERROR(INDEX(الموظفون!$M$6:$M$45,MATCH($B405,الموظفون!$B$6:$B$45,0)),""))</f>
        <v/>
      </c>
      <c r="E405" s="49"/>
      <c r="F405" s="49"/>
      <c r="G405" s="74" t="str">
        <f t="shared" si="12"/>
        <v/>
      </c>
      <c r="H405" s="75" t="str">
        <f t="shared" si="13"/>
        <v/>
      </c>
      <c r="I405" s="75" t="str">
        <f>IF($H405="","",MAX(0,ROUND($H405-الإعدادات!$C$24-الإعدادات!$C$27,2)))</f>
        <v/>
      </c>
      <c r="J405" s="76" t="str">
        <f>IF(OR($B405="",$G405="",$G405&lt;=0),"",COUNTIFS($B$6:$B405,$B405,$G$6:$G405,"&gt;0"))</f>
        <v/>
      </c>
      <c r="K405" s="75" t="str">
        <f>IF($J405="","",INDEX(الجزاءات!$E$6:$H$9,MATCH($G405,الجزاءات!$B$6:$B$9,1),MIN($J405,4)))</f>
        <v/>
      </c>
      <c r="L405" s="45"/>
    </row>
  </sheetData>
  <sheetProtection sheet="1" formatCells="0" formatColumns="0" formatRows="0" sort="0" autoFilter="0"/>
  <mergeCells count="2">
    <mergeCell ref="A1:L1"/>
    <mergeCell ref="A2:L2"/>
  </mergeCells>
  <conditionalFormatting sqref="G6:G405">
    <cfRule type="cellIs" dxfId="9" priority="2" operator="greaterThan">
      <formula>0</formula>
    </cfRule>
    <cfRule type="cellIs" dxfId="8" priority="3" operator="greaterThan">
      <formula>30</formula>
    </cfRule>
  </conditionalFormatting>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CCE6A557-97BC-4b89-ADB6-D9C93CAAB3DF}">
      <x14:dataValidations xmlns:xm="http://schemas.microsoft.com/office/excel/2006/main" count="1">
        <x14:dataValidation type="list" allowBlank="1" xr:uid="{00000000-0002-0000-0600-000000000000}">
          <x14:formula1>
            <xm:f>الموظفون!$B$6:$B$45</xm:f>
          </x14:formula1>
          <x14:formula2>
            <xm:f>0</xm:f>
          </x14:formula2>
          <xm:sqref>B6:B405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65"/>
  <sheetViews>
    <sheetView showGridLines="0" rightToLeft="1" zoomScaleNormal="100" workbookViewId="0">
      <selection activeCell="Q8" sqref="Q8"/>
    </sheetView>
  </sheetViews>
  <sheetFormatPr defaultColWidth="8.6328125" defaultRowHeight="14.5" x14ac:dyDescent="0.35"/>
  <cols>
    <col min="1" max="1" width="3" customWidth="1"/>
    <col min="2" max="2" width="12" customWidth="1"/>
    <col min="3" max="3" width="22" customWidth="1"/>
    <col min="4" max="4" width="13" customWidth="1"/>
    <col min="5" max="5" width="12" customWidth="1"/>
    <col min="6" max="6" width="13" customWidth="1"/>
    <col min="7" max="7" width="12" customWidth="1"/>
    <col min="8" max="8" width="14" customWidth="1"/>
    <col min="9" max="9" width="11" customWidth="1"/>
    <col min="10" max="14" width="14" customWidth="1"/>
  </cols>
  <sheetData>
    <row r="1" spans="1:14" ht="30" customHeight="1" x14ac:dyDescent="0.35">
      <c r="A1" s="14" t="s">
        <v>347</v>
      </c>
      <c r="B1" s="14"/>
      <c r="C1" s="14"/>
      <c r="D1" s="14"/>
      <c r="E1" s="14"/>
      <c r="F1" s="14"/>
      <c r="G1" s="14"/>
      <c r="H1" s="14"/>
      <c r="I1" s="14"/>
      <c r="J1" s="14"/>
      <c r="K1" s="14"/>
      <c r="L1" s="14"/>
      <c r="M1" s="14"/>
      <c r="N1" s="14"/>
    </row>
    <row r="2" spans="1:14" ht="18" customHeight="1" x14ac:dyDescent="0.35">
      <c r="A2" s="13" t="s">
        <v>112</v>
      </c>
      <c r="B2" s="13"/>
      <c r="C2" s="13"/>
      <c r="D2" s="13"/>
      <c r="E2" s="13"/>
      <c r="F2" s="13"/>
      <c r="G2" s="13"/>
      <c r="H2" s="13"/>
      <c r="I2" s="13"/>
      <c r="J2" s="13"/>
      <c r="K2" s="13"/>
      <c r="L2" s="13"/>
      <c r="M2" s="13"/>
      <c r="N2" s="13"/>
    </row>
    <row r="4" spans="1:14" ht="21.75" customHeight="1" x14ac:dyDescent="0.35">
      <c r="B4" s="12" t="s">
        <v>348</v>
      </c>
      <c r="C4" s="12"/>
      <c r="D4" s="12"/>
      <c r="E4" s="12"/>
      <c r="F4" s="12"/>
      <c r="G4" s="12"/>
      <c r="H4" s="12"/>
    </row>
    <row r="5" spans="1:14" ht="30" customHeight="1" x14ac:dyDescent="0.35">
      <c r="B5" s="15" t="s">
        <v>349</v>
      </c>
      <c r="C5" s="15" t="s">
        <v>350</v>
      </c>
      <c r="D5" s="15" t="s">
        <v>132</v>
      </c>
      <c r="E5" s="15" t="s">
        <v>351</v>
      </c>
      <c r="F5" s="15" t="s">
        <v>352</v>
      </c>
      <c r="G5" s="15" t="s">
        <v>353</v>
      </c>
      <c r="H5" s="15" t="s">
        <v>354</v>
      </c>
    </row>
    <row r="6" spans="1:14" ht="18" customHeight="1" x14ac:dyDescent="0.35">
      <c r="B6" s="32">
        <v>1</v>
      </c>
      <c r="C6" s="32">
        <v>15</v>
      </c>
      <c r="D6" s="17" t="s">
        <v>355</v>
      </c>
      <c r="E6" s="37">
        <v>0</v>
      </c>
      <c r="F6" s="37">
        <v>0.05</v>
      </c>
      <c r="G6" s="37">
        <v>0.1</v>
      </c>
      <c r="H6" s="37">
        <v>0.2</v>
      </c>
    </row>
    <row r="7" spans="1:14" ht="18" customHeight="1" x14ac:dyDescent="0.35">
      <c r="B7" s="32">
        <v>16</v>
      </c>
      <c r="C7" s="32">
        <v>30</v>
      </c>
      <c r="D7" s="17" t="s">
        <v>356</v>
      </c>
      <c r="E7" s="37">
        <v>0.1</v>
      </c>
      <c r="F7" s="37">
        <v>0.15</v>
      </c>
      <c r="G7" s="37">
        <v>0.25</v>
      </c>
      <c r="H7" s="37">
        <v>0.5</v>
      </c>
    </row>
    <row r="8" spans="1:14" ht="18" customHeight="1" x14ac:dyDescent="0.35">
      <c r="B8" s="32">
        <v>31</v>
      </c>
      <c r="C8" s="32">
        <v>60</v>
      </c>
      <c r="D8" s="17" t="s">
        <v>357</v>
      </c>
      <c r="E8" s="37">
        <v>0.25</v>
      </c>
      <c r="F8" s="37">
        <v>0.5</v>
      </c>
      <c r="G8" s="37">
        <v>0.75</v>
      </c>
      <c r="H8" s="37">
        <v>1</v>
      </c>
    </row>
    <row r="9" spans="1:14" ht="18" customHeight="1" x14ac:dyDescent="0.35">
      <c r="B9" s="32">
        <v>61</v>
      </c>
      <c r="C9" s="32">
        <v>999</v>
      </c>
      <c r="D9" s="17" t="s">
        <v>358</v>
      </c>
      <c r="E9" s="37">
        <v>0</v>
      </c>
      <c r="F9" s="37">
        <v>1</v>
      </c>
      <c r="G9" s="37">
        <v>2</v>
      </c>
      <c r="H9" s="37">
        <v>3</v>
      </c>
    </row>
    <row r="10" spans="1:14" ht="25.5" customHeight="1" x14ac:dyDescent="0.35">
      <c r="A10" s="9" t="s">
        <v>359</v>
      </c>
      <c r="B10" s="9"/>
      <c r="C10" s="9"/>
      <c r="D10" s="9"/>
      <c r="E10" s="9"/>
      <c r="F10" s="9"/>
      <c r="G10" s="9"/>
      <c r="H10" s="9"/>
      <c r="I10" s="9"/>
      <c r="J10" s="9"/>
      <c r="K10" s="9"/>
      <c r="L10" s="9"/>
      <c r="M10" s="9"/>
      <c r="N10" s="9"/>
    </row>
    <row r="12" spans="1:14" ht="21.75" customHeight="1" x14ac:dyDescent="0.35">
      <c r="B12" s="12" t="s">
        <v>360</v>
      </c>
      <c r="C12" s="12"/>
      <c r="D12" s="12"/>
      <c r="E12" s="12"/>
      <c r="F12" s="12"/>
      <c r="G12" s="12"/>
      <c r="H12" s="12"/>
    </row>
    <row r="13" spans="1:14" ht="30" customHeight="1" x14ac:dyDescent="0.35">
      <c r="B13" s="15" t="s">
        <v>361</v>
      </c>
      <c r="C13" s="15" t="s">
        <v>350</v>
      </c>
      <c r="D13" s="15" t="s">
        <v>132</v>
      </c>
      <c r="E13" s="15" t="s">
        <v>351</v>
      </c>
      <c r="F13" s="15" t="s">
        <v>352</v>
      </c>
      <c r="G13" s="15" t="s">
        <v>353</v>
      </c>
      <c r="H13" s="15" t="s">
        <v>354</v>
      </c>
    </row>
    <row r="14" spans="1:14" ht="18" customHeight="1" x14ac:dyDescent="0.35">
      <c r="B14" s="32">
        <v>1</v>
      </c>
      <c r="C14" s="32">
        <v>1</v>
      </c>
      <c r="D14" s="17" t="s">
        <v>362</v>
      </c>
      <c r="E14" s="37">
        <v>0.5</v>
      </c>
      <c r="F14" s="37">
        <v>1</v>
      </c>
      <c r="G14" s="37">
        <v>2</v>
      </c>
      <c r="H14" s="37">
        <v>3</v>
      </c>
    </row>
    <row r="15" spans="1:14" ht="18" customHeight="1" x14ac:dyDescent="0.35">
      <c r="B15" s="32">
        <v>2</v>
      </c>
      <c r="C15" s="32">
        <v>6</v>
      </c>
      <c r="D15" s="17" t="s">
        <v>363</v>
      </c>
      <c r="E15" s="37">
        <v>2</v>
      </c>
      <c r="F15" s="37">
        <v>3</v>
      </c>
      <c r="G15" s="37">
        <v>4</v>
      </c>
      <c r="H15" s="37">
        <v>4</v>
      </c>
    </row>
    <row r="16" spans="1:14" ht="18" customHeight="1" x14ac:dyDescent="0.35">
      <c r="B16" s="32">
        <v>7</v>
      </c>
      <c r="C16" s="32">
        <v>10</v>
      </c>
      <c r="D16" s="17" t="s">
        <v>364</v>
      </c>
      <c r="E16" s="37">
        <v>4</v>
      </c>
      <c r="F16" s="37">
        <v>5</v>
      </c>
      <c r="G16" s="37">
        <v>5</v>
      </c>
      <c r="H16" s="37">
        <v>5</v>
      </c>
    </row>
    <row r="17" spans="1:14" ht="18" customHeight="1" x14ac:dyDescent="0.35">
      <c r="B17" s="32">
        <v>11</v>
      </c>
      <c r="C17" s="32">
        <v>14</v>
      </c>
      <c r="D17" s="17" t="s">
        <v>365</v>
      </c>
      <c r="E17" s="37">
        <v>5</v>
      </c>
      <c r="F17" s="37">
        <v>5</v>
      </c>
      <c r="G17" s="37">
        <v>5</v>
      </c>
      <c r="H17" s="37">
        <v>5</v>
      </c>
    </row>
    <row r="18" spans="1:14" ht="25.5" customHeight="1" x14ac:dyDescent="0.35">
      <c r="A18" s="10" t="s">
        <v>366</v>
      </c>
      <c r="B18" s="10"/>
      <c r="C18" s="10"/>
      <c r="D18" s="10"/>
      <c r="E18" s="10"/>
      <c r="F18" s="10"/>
      <c r="G18" s="10"/>
      <c r="H18" s="10"/>
      <c r="I18" s="10"/>
      <c r="J18" s="10"/>
      <c r="K18" s="10"/>
      <c r="L18" s="10"/>
      <c r="M18" s="10"/>
      <c r="N18" s="10"/>
    </row>
    <row r="20" spans="1:14" ht="21.75" customHeight="1" x14ac:dyDescent="0.35">
      <c r="B20" s="12" t="s">
        <v>367</v>
      </c>
      <c r="C20" s="12"/>
      <c r="D20" s="12"/>
      <c r="E20" s="12"/>
      <c r="F20" s="12"/>
      <c r="G20" s="12"/>
      <c r="H20" s="12"/>
      <c r="I20" s="12"/>
      <c r="J20" s="12"/>
      <c r="K20" s="12"/>
      <c r="L20" s="12"/>
      <c r="M20" s="12"/>
      <c r="N20" s="12"/>
    </row>
    <row r="21" spans="1:14" ht="30" customHeight="1" x14ac:dyDescent="0.35">
      <c r="B21" s="15" t="s">
        <v>201</v>
      </c>
      <c r="C21" s="15" t="s">
        <v>202</v>
      </c>
      <c r="D21" s="15" t="s">
        <v>326</v>
      </c>
      <c r="E21" s="15" t="s">
        <v>368</v>
      </c>
      <c r="F21" s="15" t="s">
        <v>369</v>
      </c>
      <c r="G21" s="15" t="s">
        <v>370</v>
      </c>
      <c r="H21" s="15" t="s">
        <v>371</v>
      </c>
      <c r="I21" s="15" t="s">
        <v>372</v>
      </c>
      <c r="J21" s="15" t="s">
        <v>373</v>
      </c>
      <c r="K21" s="15" t="s">
        <v>374</v>
      </c>
      <c r="L21" s="15" t="s">
        <v>375</v>
      </c>
      <c r="M21" s="15" t="s">
        <v>376</v>
      </c>
    </row>
    <row r="22" spans="1:14" ht="16.5" customHeight="1" x14ac:dyDescent="0.35">
      <c r="B22" s="62" t="str">
        <f>IF(الحضور!$B8="","",الحضور!$B8)</f>
        <v>EMP-001</v>
      </c>
      <c r="C22" s="61" t="str">
        <f>IF($B22="","",الحضور!$C8)</f>
        <v>أحمد محمد الشريف</v>
      </c>
      <c r="D22" s="64">
        <f>IF($B22="","",الحضور!$J8)</f>
        <v>75</v>
      </c>
      <c r="E22" s="64">
        <f>IF($B22="","",الإعدادات!$C$29)</f>
        <v>360</v>
      </c>
      <c r="F22" s="64">
        <f t="shared" ref="F22:F61" si="0">IF($B22="","",MAX(0,$D22-$E22))</f>
        <v>0</v>
      </c>
      <c r="G22" s="51">
        <f>IF($B22="","",COUNTIFS(التوقيت!$B$6:$B$405,$B22,التوقيت!$G$6:$G$405,"&gt;0"))</f>
        <v>1</v>
      </c>
      <c r="H22" s="77">
        <f>IF($B22="","",IF($F22&lt;=0,0,SUMIFS(التوقيت!$K$6:$K$405,التوقيت!$B$6:$B$405,$B22)))</f>
        <v>0</v>
      </c>
      <c r="I22" s="51">
        <f>IF($B22="","",الحضور!$G8)</f>
        <v>0</v>
      </c>
      <c r="J22" s="77">
        <f t="shared" ref="J22:J61" si="1">IF($B22="","",IF($I22&lt;=0,0,INDEX($E$14:$E$17,MATCH($I22,$B$14:$B$17,1))))</f>
        <v>0</v>
      </c>
      <c r="K22" s="77">
        <f t="shared" ref="K22:K61" si="2">IF($B22="","",$H22+$J22)</f>
        <v>0</v>
      </c>
      <c r="L22" s="78">
        <f>IF($B22="","",MIN($K22,الإعدادات!$C$30))</f>
        <v>0</v>
      </c>
      <c r="M22" s="79">
        <f>IF($B22="","",ROUND($L22*IFERROR(INDEX(الموظفون!$J$6:$J$45,MATCH($B22,الموظفون!$B$6:$B$45,0)),0),2))</f>
        <v>0</v>
      </c>
    </row>
    <row r="23" spans="1:14" ht="16.5" customHeight="1" x14ac:dyDescent="0.35">
      <c r="B23" s="62" t="str">
        <f>IF(الحضور!$B9="","",الحضور!$B9)</f>
        <v>EMP-002</v>
      </c>
      <c r="C23" s="61" t="str">
        <f>IF($B23="","",الحضور!$C9)</f>
        <v>عبدالله القحطاني</v>
      </c>
      <c r="D23" s="64">
        <f>IF($B23="","",الحضور!$J9)</f>
        <v>20</v>
      </c>
      <c r="E23" s="64">
        <f>IF($B23="","",الإعدادات!$C$29)</f>
        <v>360</v>
      </c>
      <c r="F23" s="64">
        <f t="shared" si="0"/>
        <v>0</v>
      </c>
      <c r="G23" s="51">
        <f>IF($B23="","",COUNTIFS(التوقيت!$B$6:$B$405,$B23,التوقيت!$G$6:$G$405,"&gt;0"))</f>
        <v>1</v>
      </c>
      <c r="H23" s="77">
        <f>IF($B23="","",IF($F23&lt;=0,0,SUMIFS(التوقيت!$K$6:$K$405,التوقيت!$B$6:$B$405,$B23)))</f>
        <v>0</v>
      </c>
      <c r="I23" s="51">
        <f>IF($B23="","",الحضور!$G9)</f>
        <v>3</v>
      </c>
      <c r="J23" s="77">
        <f t="shared" si="1"/>
        <v>2</v>
      </c>
      <c r="K23" s="77">
        <f t="shared" si="2"/>
        <v>2</v>
      </c>
      <c r="L23" s="78">
        <f>IF($B23="","",MIN($K23,الإعدادات!$C$30))</f>
        <v>2</v>
      </c>
      <c r="M23" s="79">
        <f>IF($B23="","",ROUND($L23*IFERROR(INDEX(الموظفون!$J$6:$J$45,MATCH($B23,الموظفون!$B$6:$B$45,0)),0),2))</f>
        <v>733.34</v>
      </c>
    </row>
    <row r="24" spans="1:14" ht="16.5" customHeight="1" x14ac:dyDescent="0.35">
      <c r="B24" s="62" t="str">
        <f>IF(الحضور!$B10="","",الحضور!$B10)</f>
        <v>EMP-003</v>
      </c>
      <c r="C24" s="61" t="str">
        <f>IF($B24="","",الحضور!$C10)</f>
        <v>محمود حسن السيد</v>
      </c>
      <c r="D24" s="64">
        <f>IF($B24="","",الحضور!$J10)</f>
        <v>0</v>
      </c>
      <c r="E24" s="64">
        <f>IF($B24="","",الإعدادات!$C$29)</f>
        <v>360</v>
      </c>
      <c r="F24" s="64">
        <f t="shared" si="0"/>
        <v>0</v>
      </c>
      <c r="G24" s="51">
        <f>IF($B24="","",COUNTIFS(التوقيت!$B$6:$B$405,$B24,التوقيت!$G$6:$G$405,"&gt;0"))</f>
        <v>0</v>
      </c>
      <c r="H24" s="77">
        <f>IF($B24="","",IF($F24&lt;=0,0,SUMIFS(التوقيت!$K$6:$K$405,التوقيت!$B$6:$B$405,$B24)))</f>
        <v>0</v>
      </c>
      <c r="I24" s="51">
        <f>IF($B24="","",الحضور!$G10)</f>
        <v>0</v>
      </c>
      <c r="J24" s="77">
        <f t="shared" si="1"/>
        <v>0</v>
      </c>
      <c r="K24" s="77">
        <f t="shared" si="2"/>
        <v>0</v>
      </c>
      <c r="L24" s="78">
        <f>IF($B24="","",MIN($K24,الإعدادات!$C$30))</f>
        <v>0</v>
      </c>
      <c r="M24" s="79">
        <f>IF($B24="","",ROUND($L24*IFERROR(INDEX(الموظفون!$J$6:$J$45,MATCH($B24,الموظفون!$B$6:$B$45,0)),0),2))</f>
        <v>0</v>
      </c>
    </row>
    <row r="25" spans="1:14" ht="16.5" customHeight="1" x14ac:dyDescent="0.35">
      <c r="B25" s="62" t="str">
        <f>IF(الحضور!$B11="","",الحضور!$B11)</f>
        <v>EMP-004</v>
      </c>
      <c r="C25" s="61" t="str">
        <f>IF($B25="","",الحضور!$C11)</f>
        <v>فيصل العتيبي</v>
      </c>
      <c r="D25" s="64">
        <f>IF($B25="","",الحضور!$J11)</f>
        <v>46</v>
      </c>
      <c r="E25" s="64">
        <f>IF($B25="","",الإعدادات!$C$29)</f>
        <v>360</v>
      </c>
      <c r="F25" s="64">
        <f t="shared" si="0"/>
        <v>0</v>
      </c>
      <c r="G25" s="51">
        <f>IF($B25="","",COUNTIFS(التوقيت!$B$6:$B$405,$B25,التوقيت!$G$6:$G$405,"&gt;0"))</f>
        <v>5</v>
      </c>
      <c r="H25" s="77">
        <f>IF($B25="","",IF($F25&lt;=0,0,SUMIFS(التوقيت!$K$6:$K$405,التوقيت!$B$6:$B$405,$B25)))</f>
        <v>0</v>
      </c>
      <c r="I25" s="51">
        <f>IF($B25="","",الحضور!$G11)</f>
        <v>0</v>
      </c>
      <c r="J25" s="77">
        <f t="shared" si="1"/>
        <v>0</v>
      </c>
      <c r="K25" s="77">
        <f t="shared" si="2"/>
        <v>0</v>
      </c>
      <c r="L25" s="78">
        <f>IF($B25="","",MIN($K25,الإعدادات!$C$30))</f>
        <v>0</v>
      </c>
      <c r="M25" s="79">
        <f>IF($B25="","",ROUND($L25*IFERROR(INDEX(الموظفون!$J$6:$J$45,MATCH($B25,الموظفون!$B$6:$B$45,0)),0),2))</f>
        <v>0</v>
      </c>
    </row>
    <row r="26" spans="1:14" ht="16.5" customHeight="1" x14ac:dyDescent="0.35">
      <c r="B26" s="62" t="str">
        <f>IF(الحضور!$B12="","",الحضور!$B12)</f>
        <v>EMP-005</v>
      </c>
      <c r="C26" s="61" t="str">
        <f>IF($B26="","",الحضور!$C12)</f>
        <v>يوسف إبراهيم فؤاد</v>
      </c>
      <c r="D26" s="64">
        <f>IF($B26="","",الحضور!$J12)</f>
        <v>449</v>
      </c>
      <c r="E26" s="64">
        <f>IF($B26="","",الإعدادات!$C$29)</f>
        <v>360</v>
      </c>
      <c r="F26" s="64">
        <f t="shared" si="0"/>
        <v>89</v>
      </c>
      <c r="G26" s="51">
        <f>IF($B26="","",COUNTIFS(التوقيت!$B$6:$B$405,$B26,التوقيت!$G$6:$G$405,"&gt;0"))</f>
        <v>17</v>
      </c>
      <c r="H26" s="77">
        <f>IF($B26="","",IF($F26&lt;=0,0,SUMIFS(التوقيت!$K$6:$K$405,التوقيت!$B$6:$B$405,$B26)))</f>
        <v>8.8000000000000007</v>
      </c>
      <c r="I26" s="51">
        <f>IF($B26="","",الحضور!$G12)</f>
        <v>0</v>
      </c>
      <c r="J26" s="77">
        <f t="shared" si="1"/>
        <v>0</v>
      </c>
      <c r="K26" s="77">
        <f t="shared" si="2"/>
        <v>8.8000000000000007</v>
      </c>
      <c r="L26" s="78">
        <f>IF($B26="","",MIN($K26,الإعدادات!$C$30))</f>
        <v>5</v>
      </c>
      <c r="M26" s="79">
        <f>IF($B26="","",ROUND($L26*IFERROR(INDEX(الموظفون!$J$6:$J$45,MATCH($B26,الموظفون!$B$6:$B$45,0)),0),2))</f>
        <v>1300</v>
      </c>
    </row>
    <row r="27" spans="1:14" ht="16.5" customHeight="1" x14ac:dyDescent="0.35">
      <c r="B27" s="62" t="str">
        <f>IF(الحضور!$B13="","",الحضور!$B13)</f>
        <v>EMP-006</v>
      </c>
      <c r="C27" s="61" t="str">
        <f>IF($B27="","",الحضور!$C13)</f>
        <v>سلطان الحربي</v>
      </c>
      <c r="D27" s="64">
        <f>IF($B27="","",الحضور!$J13)</f>
        <v>70</v>
      </c>
      <c r="E27" s="64">
        <f>IF($B27="","",الإعدادات!$C$29)</f>
        <v>360</v>
      </c>
      <c r="F27" s="64">
        <f t="shared" si="0"/>
        <v>0</v>
      </c>
      <c r="G27" s="51">
        <f>IF($B27="","",COUNTIFS(التوقيت!$B$6:$B$405,$B27,التوقيت!$G$6:$G$405,"&gt;0"))</f>
        <v>2</v>
      </c>
      <c r="H27" s="77">
        <f>IF($B27="","",IF($F27&lt;=0,0,SUMIFS(التوقيت!$K$6:$K$405,التوقيت!$B$6:$B$405,$B27)))</f>
        <v>0</v>
      </c>
      <c r="I27" s="51">
        <f>IF($B27="","",الحضور!$G13)</f>
        <v>0</v>
      </c>
      <c r="J27" s="77">
        <f t="shared" si="1"/>
        <v>0</v>
      </c>
      <c r="K27" s="77">
        <f t="shared" si="2"/>
        <v>0</v>
      </c>
      <c r="L27" s="78">
        <f>IF($B27="","",MIN($K27,الإعدادات!$C$30))</f>
        <v>0</v>
      </c>
      <c r="M27" s="79">
        <f>IF($B27="","",ROUND($L27*IFERROR(INDEX(الموظفون!$J$6:$J$45,MATCH($B27,الموظفون!$B$6:$B$45,0)),0),2))</f>
        <v>0</v>
      </c>
    </row>
    <row r="28" spans="1:14" ht="16.5" customHeight="1" x14ac:dyDescent="0.35">
      <c r="B28" s="62" t="str">
        <f>IF(الحضور!$B14="","",الحضور!$B14)</f>
        <v>EMP-007</v>
      </c>
      <c r="C28" s="61" t="str">
        <f>IF($B28="","",الحضور!$C14)</f>
        <v>كريم سعيد الخولي</v>
      </c>
      <c r="D28" s="64">
        <f>IF($B28="","",الحضور!$J14)</f>
        <v>35</v>
      </c>
      <c r="E28" s="64">
        <f>IF($B28="","",الإعدادات!$C$29)</f>
        <v>360</v>
      </c>
      <c r="F28" s="64">
        <f t="shared" si="0"/>
        <v>0</v>
      </c>
      <c r="G28" s="51">
        <f>IF($B28="","",COUNTIFS(التوقيت!$B$6:$B$405,$B28,التوقيت!$G$6:$G$405,"&gt;0"))</f>
        <v>1</v>
      </c>
      <c r="H28" s="77">
        <f>IF($B28="","",IF($F28&lt;=0,0,SUMIFS(التوقيت!$K$6:$K$405,التوقيت!$B$6:$B$405,$B28)))</f>
        <v>0</v>
      </c>
      <c r="I28" s="51">
        <f>IF($B28="","",الحضور!$G14)</f>
        <v>0</v>
      </c>
      <c r="J28" s="77">
        <f t="shared" si="1"/>
        <v>0</v>
      </c>
      <c r="K28" s="77">
        <f t="shared" si="2"/>
        <v>0</v>
      </c>
      <c r="L28" s="78">
        <f>IF($B28="","",MIN($K28,الإعدادات!$C$30))</f>
        <v>0</v>
      </c>
      <c r="M28" s="79">
        <f>IF($B28="","",ROUND($L28*IFERROR(INDEX(الموظفون!$J$6:$J$45,MATCH($B28,الموظفون!$B$6:$B$45,0)),0),2))</f>
        <v>0</v>
      </c>
    </row>
    <row r="29" spans="1:14" ht="16.5" customHeight="1" x14ac:dyDescent="0.35">
      <c r="B29" s="62" t="str">
        <f>IF(الحضور!$B15="","",الحضور!$B15)</f>
        <v>EMP-008</v>
      </c>
      <c r="C29" s="61" t="str">
        <f>IF($B29="","",الحضور!$C15)</f>
        <v>بندر الغامدي</v>
      </c>
      <c r="D29" s="64">
        <f>IF($B29="","",الحضور!$J15)</f>
        <v>70</v>
      </c>
      <c r="E29" s="64">
        <f>IF($B29="","",الإعدادات!$C$29)</f>
        <v>360</v>
      </c>
      <c r="F29" s="64">
        <f t="shared" si="0"/>
        <v>0</v>
      </c>
      <c r="G29" s="51">
        <f>IF($B29="","",COUNTIFS(التوقيت!$B$6:$B$405,$B29,التوقيت!$G$6:$G$405,"&gt;0"))</f>
        <v>2</v>
      </c>
      <c r="H29" s="77">
        <f>IF($B29="","",IF($F29&lt;=0,0,SUMIFS(التوقيت!$K$6:$K$405,التوقيت!$B$6:$B$405,$B29)))</f>
        <v>0</v>
      </c>
      <c r="I29" s="51">
        <f>IF($B29="","",الحضور!$G15)</f>
        <v>2</v>
      </c>
      <c r="J29" s="77">
        <f t="shared" si="1"/>
        <v>2</v>
      </c>
      <c r="K29" s="77">
        <f t="shared" si="2"/>
        <v>2</v>
      </c>
      <c r="L29" s="78">
        <f>IF($B29="","",MIN($K29,الإعدادات!$C$30))</f>
        <v>2</v>
      </c>
      <c r="M29" s="79">
        <f>IF($B29="","",ROUND($L29*IFERROR(INDEX(الموظفون!$J$6:$J$45,MATCH($B29,الموظفون!$B$6:$B$45,0)),0),2))</f>
        <v>966.66</v>
      </c>
    </row>
    <row r="30" spans="1:14" ht="16.5" customHeight="1" x14ac:dyDescent="0.35">
      <c r="B30" s="62" t="str">
        <f>IF(الحضور!$B16="","",الحضور!$B16)</f>
        <v>EMP-009</v>
      </c>
      <c r="C30" s="61" t="str">
        <f>IF($B30="","",الحضور!$C16)</f>
        <v>عمر شعبان النجار</v>
      </c>
      <c r="D30" s="64">
        <f>IF($B30="","",الحضور!$J16)</f>
        <v>262</v>
      </c>
      <c r="E30" s="64">
        <f>IF($B30="","",الإعدادات!$C$29)</f>
        <v>360</v>
      </c>
      <c r="F30" s="64">
        <f t="shared" si="0"/>
        <v>0</v>
      </c>
      <c r="G30" s="51">
        <f>IF($B30="","",COUNTIFS(التوقيت!$B$6:$B$405,$B30,التوقيت!$G$6:$G$405,"&gt;0"))</f>
        <v>5</v>
      </c>
      <c r="H30" s="77">
        <f>IF($B30="","",IF($F30&lt;=0,0,SUMIFS(التوقيت!$K$6:$K$405,التوقيت!$B$6:$B$405,$B30)))</f>
        <v>0</v>
      </c>
      <c r="I30" s="51">
        <f>IF($B30="","",الحضور!$G16)</f>
        <v>8</v>
      </c>
      <c r="J30" s="77">
        <f t="shared" si="1"/>
        <v>4</v>
      </c>
      <c r="K30" s="77">
        <f t="shared" si="2"/>
        <v>4</v>
      </c>
      <c r="L30" s="78">
        <f>IF($B30="","",MIN($K30,الإعدادات!$C$30))</f>
        <v>4</v>
      </c>
      <c r="M30" s="79">
        <f>IF($B30="","",ROUND($L30*IFERROR(INDEX(الموظفون!$J$6:$J$45,MATCH($B30,الموظفون!$B$6:$B$45,0)),0),2))</f>
        <v>960</v>
      </c>
    </row>
    <row r="31" spans="1:14" ht="16.5" customHeight="1" x14ac:dyDescent="0.35">
      <c r="B31" s="62" t="str">
        <f>IF(الحضور!$B17="","",الحضور!$B17)</f>
        <v>EMP-010</v>
      </c>
      <c r="C31" s="61" t="str">
        <f>IF($B31="","",الحضور!$C17)</f>
        <v>ماجد الدوسري</v>
      </c>
      <c r="D31" s="64">
        <f>IF($B31="","",الحضور!$J17)</f>
        <v>120</v>
      </c>
      <c r="E31" s="64">
        <f>IF($B31="","",الإعدادات!$C$29)</f>
        <v>360</v>
      </c>
      <c r="F31" s="64">
        <f t="shared" si="0"/>
        <v>0</v>
      </c>
      <c r="G31" s="51">
        <f>IF($B31="","",COUNTIFS(التوقيت!$B$6:$B$405,$B31,التوقيت!$G$6:$G$405,"&gt;0"))</f>
        <v>3</v>
      </c>
      <c r="H31" s="77">
        <f>IF($B31="","",IF($F31&lt;=0,0,SUMIFS(التوقيت!$K$6:$K$405,التوقيت!$B$6:$B$405,$B31)))</f>
        <v>0</v>
      </c>
      <c r="I31" s="51">
        <f>IF($B31="","",الحضور!$G17)</f>
        <v>0</v>
      </c>
      <c r="J31" s="77">
        <f t="shared" si="1"/>
        <v>0</v>
      </c>
      <c r="K31" s="77">
        <f t="shared" si="2"/>
        <v>0</v>
      </c>
      <c r="L31" s="78">
        <f>IF($B31="","",MIN($K31,الإعدادات!$C$30))</f>
        <v>0</v>
      </c>
      <c r="M31" s="79">
        <f>IF($B31="","",ROUND($L31*IFERROR(INDEX(الموظفون!$J$6:$J$45,MATCH($B31,الموظفون!$B$6:$B$45,0)),0),2))</f>
        <v>0</v>
      </c>
    </row>
    <row r="32" spans="1:14" ht="16.5" customHeight="1" x14ac:dyDescent="0.35">
      <c r="B32" s="62" t="str">
        <f>IF(الحضور!$B18="","",الحضور!$B18)</f>
        <v>EMP-011</v>
      </c>
      <c r="C32" s="61" t="str">
        <f>IF($B32="","",الحضور!$C18)</f>
        <v>هبة رمضان عبد الحميد</v>
      </c>
      <c r="D32" s="64">
        <f>IF($B32="","",الحضور!$J18)</f>
        <v>132</v>
      </c>
      <c r="E32" s="64">
        <f>IF($B32="","",الإعدادات!$C$29)</f>
        <v>360</v>
      </c>
      <c r="F32" s="64">
        <f t="shared" si="0"/>
        <v>0</v>
      </c>
      <c r="G32" s="51">
        <f>IF($B32="","",COUNTIFS(التوقيت!$B$6:$B$405,$B32,التوقيت!$G$6:$G$405,"&gt;0"))</f>
        <v>4</v>
      </c>
      <c r="H32" s="77">
        <f>IF($B32="","",IF($F32&lt;=0,0,SUMIFS(التوقيت!$K$6:$K$405,التوقيت!$B$6:$B$405,$B32)))</f>
        <v>0</v>
      </c>
      <c r="I32" s="51">
        <f>IF($B32="","",الحضور!$G18)</f>
        <v>0</v>
      </c>
      <c r="J32" s="77">
        <f t="shared" si="1"/>
        <v>0</v>
      </c>
      <c r="K32" s="77">
        <f t="shared" si="2"/>
        <v>0</v>
      </c>
      <c r="L32" s="78">
        <f>IF($B32="","",MIN($K32,الإعدادات!$C$30))</f>
        <v>0</v>
      </c>
      <c r="M32" s="79">
        <f>IF($B32="","",ROUND($L32*IFERROR(INDEX(الموظفون!$J$6:$J$45,MATCH($B32,الموظفون!$B$6:$B$45,0)),0),2))</f>
        <v>0</v>
      </c>
    </row>
    <row r="33" spans="2:13" ht="16.5" customHeight="1" x14ac:dyDescent="0.35">
      <c r="B33" s="62" t="str">
        <f>IF(الحضور!$B19="","",الحضور!$B19)</f>
        <v>EMP-012</v>
      </c>
      <c r="C33" s="61" t="str">
        <f>IF($B33="","",الحضور!$C19)</f>
        <v>نورة العمري</v>
      </c>
      <c r="D33" s="64">
        <f>IF($B33="","",الحضور!$J19)</f>
        <v>40</v>
      </c>
      <c r="E33" s="64">
        <f>IF($B33="","",الإعدادات!$C$29)</f>
        <v>360</v>
      </c>
      <c r="F33" s="64">
        <f t="shared" si="0"/>
        <v>0</v>
      </c>
      <c r="G33" s="51">
        <f>IF($B33="","",COUNTIFS(التوقيت!$B$6:$B$405,$B33,التوقيت!$G$6:$G$405,"&gt;0"))</f>
        <v>2</v>
      </c>
      <c r="H33" s="77">
        <f>IF($B33="","",IF($F33&lt;=0,0,SUMIFS(التوقيت!$K$6:$K$405,التوقيت!$B$6:$B$405,$B33)))</f>
        <v>0</v>
      </c>
      <c r="I33" s="51">
        <f>IF($B33="","",الحضور!$G19)</f>
        <v>1</v>
      </c>
      <c r="J33" s="77">
        <f t="shared" si="1"/>
        <v>0.5</v>
      </c>
      <c r="K33" s="77">
        <f t="shared" si="2"/>
        <v>0.5</v>
      </c>
      <c r="L33" s="78">
        <f>IF($B33="","",MIN($K33,الإعدادات!$C$30))</f>
        <v>0.5</v>
      </c>
      <c r="M33" s="79">
        <f>IF($B33="","",ROUND($L33*IFERROR(INDEX(الموظفون!$J$6:$J$45,MATCH($B33,الموظفون!$B$6:$B$45,0)),0),2))</f>
        <v>123.34</v>
      </c>
    </row>
    <row r="34" spans="2:13" ht="16.5" customHeight="1" x14ac:dyDescent="0.35">
      <c r="B34" s="62" t="str">
        <f>IF(الحضور!$B20="","",الحضور!$B20)</f>
        <v>EMP-013</v>
      </c>
      <c r="C34" s="61" t="str">
        <f>IF($B34="","",الحضور!$C20)</f>
        <v>داليا فؤاد الشناوي</v>
      </c>
      <c r="D34" s="64">
        <f>IF($B34="","",الحضور!$J20)</f>
        <v>25</v>
      </c>
      <c r="E34" s="64">
        <f>IF($B34="","",الإعدادات!$C$29)</f>
        <v>360</v>
      </c>
      <c r="F34" s="64">
        <f t="shared" si="0"/>
        <v>0</v>
      </c>
      <c r="G34" s="51">
        <f>IF($B34="","",COUNTIFS(التوقيت!$B$6:$B$405,$B34,التوقيت!$G$6:$G$405,"&gt;0"))</f>
        <v>2</v>
      </c>
      <c r="H34" s="77">
        <f>IF($B34="","",IF($F34&lt;=0,0,SUMIFS(التوقيت!$K$6:$K$405,التوقيت!$B$6:$B$405,$B34)))</f>
        <v>0</v>
      </c>
      <c r="I34" s="51">
        <f>IF($B34="","",الحضور!$G20)</f>
        <v>0</v>
      </c>
      <c r="J34" s="77">
        <f t="shared" si="1"/>
        <v>0</v>
      </c>
      <c r="K34" s="77">
        <f t="shared" si="2"/>
        <v>0</v>
      </c>
      <c r="L34" s="78">
        <f>IF($B34="","",MIN($K34,الإعدادات!$C$30))</f>
        <v>0</v>
      </c>
      <c r="M34" s="79">
        <f>IF($B34="","",ROUND($L34*IFERROR(INDEX(الموظفون!$J$6:$J$45,MATCH($B34,الموظفون!$B$6:$B$45,0)),0),2))</f>
        <v>0</v>
      </c>
    </row>
    <row r="35" spans="2:13" ht="16.5" customHeight="1" x14ac:dyDescent="0.35">
      <c r="B35" s="62" t="str">
        <f>IF(الحضور!$B21="","",الحضور!$B21)</f>
        <v>EMP-014</v>
      </c>
      <c r="C35" s="61" t="str">
        <f>IF($B35="","",الحضور!$C21)</f>
        <v>لطيفة الشهري</v>
      </c>
      <c r="D35" s="64">
        <f>IF($B35="","",الحضور!$J21)</f>
        <v>0</v>
      </c>
      <c r="E35" s="64">
        <f>IF($B35="","",الإعدادات!$C$29)</f>
        <v>360</v>
      </c>
      <c r="F35" s="64">
        <f t="shared" si="0"/>
        <v>0</v>
      </c>
      <c r="G35" s="51">
        <f>IF($B35="","",COUNTIFS(التوقيت!$B$6:$B$405,$B35,التوقيت!$G$6:$G$405,"&gt;0"))</f>
        <v>0</v>
      </c>
      <c r="H35" s="77">
        <f>IF($B35="","",IF($F35&lt;=0,0,SUMIFS(التوقيت!$K$6:$K$405,التوقيت!$B$6:$B$405,$B35)))</f>
        <v>0</v>
      </c>
      <c r="I35" s="51">
        <f>IF($B35="","",الحضور!$G21)</f>
        <v>0</v>
      </c>
      <c r="J35" s="77">
        <f t="shared" si="1"/>
        <v>0</v>
      </c>
      <c r="K35" s="77">
        <f t="shared" si="2"/>
        <v>0</v>
      </c>
      <c r="L35" s="78">
        <f>IF($B35="","",MIN($K35,الإعدادات!$C$30))</f>
        <v>0</v>
      </c>
      <c r="M35" s="79">
        <f>IF($B35="","",ROUND($L35*IFERROR(INDEX(الموظفون!$J$6:$J$45,MATCH($B35,الموظفون!$B$6:$B$45,0)),0),2))</f>
        <v>0</v>
      </c>
    </row>
    <row r="36" spans="2:13" ht="16.5" customHeight="1" x14ac:dyDescent="0.35">
      <c r="B36" s="62" t="str">
        <f>IF(الحضور!$B22="","",الحضور!$B22)</f>
        <v>EMP-015</v>
      </c>
      <c r="C36" s="61" t="str">
        <f>IF($B36="","",الحضور!$C22)</f>
        <v>سارة الشريف عبد الله</v>
      </c>
      <c r="D36" s="64">
        <f>IF($B36="","",الحضور!$J22)</f>
        <v>424</v>
      </c>
      <c r="E36" s="64">
        <f>IF($B36="","",الإعدادات!$C$29)</f>
        <v>360</v>
      </c>
      <c r="F36" s="64">
        <f t="shared" si="0"/>
        <v>64</v>
      </c>
      <c r="G36" s="51">
        <f>IF($B36="","",COUNTIFS(التوقيت!$B$6:$B$405,$B36,التوقيت!$G$6:$G$405,"&gt;0"))</f>
        <v>19</v>
      </c>
      <c r="H36" s="77">
        <f>IF($B36="","",IF($F36&lt;=0,0,SUMIFS(التوقيت!$K$6:$K$405,التوقيت!$B$6:$B$405,$B36)))</f>
        <v>8.8000000000000007</v>
      </c>
      <c r="I36" s="51">
        <f>IF($B36="","",الحضور!$G22)</f>
        <v>0</v>
      </c>
      <c r="J36" s="77">
        <f t="shared" si="1"/>
        <v>0</v>
      </c>
      <c r="K36" s="77">
        <f t="shared" si="2"/>
        <v>8.8000000000000007</v>
      </c>
      <c r="L36" s="78">
        <f>IF($B36="","",MIN($K36,الإعدادات!$C$30))</f>
        <v>5</v>
      </c>
      <c r="M36" s="79">
        <f>IF($B36="","",ROUND($L36*IFERROR(INDEX(الموظفون!$J$6:$J$45,MATCH($B36,الموظفون!$B$6:$B$45,0)),0),2))</f>
        <v>1033.3499999999999</v>
      </c>
    </row>
    <row r="37" spans="2:13" ht="16.5" customHeight="1" x14ac:dyDescent="0.35">
      <c r="B37" s="62" t="str">
        <f>IF(الحضور!$B23="","",الحضور!$B23)</f>
        <v>EMP-016</v>
      </c>
      <c r="C37" s="61" t="str">
        <f>IF($B37="","",الحضور!$C23)</f>
        <v>ريم القحطاني</v>
      </c>
      <c r="D37" s="64">
        <f>IF($B37="","",الحضور!$J23)</f>
        <v>80</v>
      </c>
      <c r="E37" s="64">
        <f>IF($B37="","",الإعدادات!$C$29)</f>
        <v>360</v>
      </c>
      <c r="F37" s="64">
        <f t="shared" si="0"/>
        <v>0</v>
      </c>
      <c r="G37" s="51">
        <f>IF($B37="","",COUNTIFS(التوقيت!$B$6:$B$405,$B37,التوقيت!$G$6:$G$405,"&gt;0"))</f>
        <v>2</v>
      </c>
      <c r="H37" s="77">
        <f>IF($B37="","",IF($F37&lt;=0,0,SUMIFS(التوقيت!$K$6:$K$405,التوقيت!$B$6:$B$405,$B37)))</f>
        <v>0</v>
      </c>
      <c r="I37" s="51">
        <f>IF($B37="","",الحضور!$G23)</f>
        <v>0</v>
      </c>
      <c r="J37" s="77">
        <f t="shared" si="1"/>
        <v>0</v>
      </c>
      <c r="K37" s="77">
        <f t="shared" si="2"/>
        <v>0</v>
      </c>
      <c r="L37" s="78">
        <f>IF($B37="","",MIN($K37,الإعدادات!$C$30))</f>
        <v>0</v>
      </c>
      <c r="M37" s="79">
        <f>IF($B37="","",ROUND($L37*IFERROR(INDEX(الموظفون!$J$6:$J$45,MATCH($B37,الموظفون!$B$6:$B$45,0)),0),2))</f>
        <v>0</v>
      </c>
    </row>
    <row r="38" spans="2:13" ht="16.5" customHeight="1" x14ac:dyDescent="0.35">
      <c r="B38" s="62" t="str">
        <f>IF(الحضور!$B24="","",الحضور!$B24)</f>
        <v>EMP-017</v>
      </c>
      <c r="C38" s="61" t="str">
        <f>IF($B38="","",الحضور!$C24)</f>
        <v>منى الغزالي</v>
      </c>
      <c r="D38" s="64">
        <f>IF($B38="","",الحضور!$J24)</f>
        <v>5</v>
      </c>
      <c r="E38" s="64">
        <f>IF($B38="","",الإعدادات!$C$29)</f>
        <v>360</v>
      </c>
      <c r="F38" s="64">
        <f t="shared" si="0"/>
        <v>0</v>
      </c>
      <c r="G38" s="51">
        <f>IF($B38="","",COUNTIFS(التوقيت!$B$6:$B$405,$B38,التوقيت!$G$6:$G$405,"&gt;0"))</f>
        <v>1</v>
      </c>
      <c r="H38" s="77">
        <f>IF($B38="","",IF($F38&lt;=0,0,SUMIFS(التوقيت!$K$6:$K$405,التوقيت!$B$6:$B$405,$B38)))</f>
        <v>0</v>
      </c>
      <c r="I38" s="51">
        <f>IF($B38="","",الحضور!$G24)</f>
        <v>1</v>
      </c>
      <c r="J38" s="77">
        <f t="shared" si="1"/>
        <v>0.5</v>
      </c>
      <c r="K38" s="77">
        <f t="shared" si="2"/>
        <v>0.5</v>
      </c>
      <c r="L38" s="78">
        <f>IF($B38="","",MIN($K38,الإعدادات!$C$30))</f>
        <v>0.5</v>
      </c>
      <c r="M38" s="79">
        <f>IF($B38="","",ROUND($L38*IFERROR(INDEX(الموظفون!$J$6:$J$45,MATCH($B38,الموظفون!$B$6:$B$45,0)),0),2))</f>
        <v>118.34</v>
      </c>
    </row>
    <row r="39" spans="2:13" ht="16.5" customHeight="1" x14ac:dyDescent="0.35">
      <c r="B39" s="62" t="str">
        <f>IF(الحضور!$B25="","",الحضور!$B25)</f>
        <v>EMP-018</v>
      </c>
      <c r="C39" s="61" t="str">
        <f>IF($B39="","",الحضور!$C25)</f>
        <v>هيا الغانم</v>
      </c>
      <c r="D39" s="64">
        <f>IF($B39="","",الحضور!$J25)</f>
        <v>127</v>
      </c>
      <c r="E39" s="64">
        <f>IF($B39="","",الإعدادات!$C$29)</f>
        <v>360</v>
      </c>
      <c r="F39" s="64">
        <f t="shared" si="0"/>
        <v>0</v>
      </c>
      <c r="G39" s="51">
        <f>IF($B39="","",COUNTIFS(التوقيت!$B$6:$B$405,$B39,التوقيت!$G$6:$G$405,"&gt;0"))</f>
        <v>6</v>
      </c>
      <c r="H39" s="77">
        <f>IF($B39="","",IF($F39&lt;=0,0,SUMIFS(التوقيت!$K$6:$K$405,التوقيت!$B$6:$B$405,$B39)))</f>
        <v>0</v>
      </c>
      <c r="I39" s="51">
        <f>IF($B39="","",الحضور!$G25)</f>
        <v>5</v>
      </c>
      <c r="J39" s="77">
        <f t="shared" si="1"/>
        <v>2</v>
      </c>
      <c r="K39" s="77">
        <f t="shared" si="2"/>
        <v>2</v>
      </c>
      <c r="L39" s="78">
        <f>IF($B39="","",MIN($K39,الإعدادات!$C$30))</f>
        <v>2</v>
      </c>
      <c r="M39" s="79">
        <f>IF($B39="","",ROUND($L39*IFERROR(INDEX(الموظفون!$J$6:$J$45,MATCH($B39,الموظفون!$B$6:$B$45,0)),0),2))</f>
        <v>573.34</v>
      </c>
    </row>
    <row r="40" spans="2:13" ht="16.5" customHeight="1" x14ac:dyDescent="0.35">
      <c r="B40" s="62" t="str">
        <f>IF(الحضور!$B26="","",الحضور!$B26)</f>
        <v>EMP-019</v>
      </c>
      <c r="C40" s="61" t="str">
        <f>IF($B40="","",الحضور!$C26)</f>
        <v>رانيا الخولي</v>
      </c>
      <c r="D40" s="64">
        <f>IF($B40="","",الحضور!$J26)</f>
        <v>157</v>
      </c>
      <c r="E40" s="64">
        <f>IF($B40="","",الإعدادات!$C$29)</f>
        <v>360</v>
      </c>
      <c r="F40" s="64">
        <f t="shared" si="0"/>
        <v>0</v>
      </c>
      <c r="G40" s="51">
        <f>IF($B40="","",COUNTIFS(التوقيت!$B$6:$B$405,$B40,التوقيت!$G$6:$G$405,"&gt;0"))</f>
        <v>6</v>
      </c>
      <c r="H40" s="77">
        <f>IF($B40="","",IF($F40&lt;=0,0,SUMIFS(التوقيت!$K$6:$K$405,التوقيت!$B$6:$B$405,$B40)))</f>
        <v>0</v>
      </c>
      <c r="I40" s="51">
        <f>IF($B40="","",الحضور!$G26)</f>
        <v>0</v>
      </c>
      <c r="J40" s="77">
        <f t="shared" si="1"/>
        <v>0</v>
      </c>
      <c r="K40" s="77">
        <f t="shared" si="2"/>
        <v>0</v>
      </c>
      <c r="L40" s="78">
        <f>IF($B40="","",MIN($K40,الإعدادات!$C$30))</f>
        <v>0</v>
      </c>
      <c r="M40" s="79">
        <f>IF($B40="","",ROUND($L40*IFERROR(INDEX(الموظفون!$J$6:$J$45,MATCH($B40,الموظفون!$B$6:$B$45,0)),0),2))</f>
        <v>0</v>
      </c>
    </row>
    <row r="41" spans="2:13" ht="16.5" customHeight="1" x14ac:dyDescent="0.35">
      <c r="B41" s="62" t="str">
        <f>IF(الحضور!$B27="","",الحضور!$B27)</f>
        <v>EMP-020</v>
      </c>
      <c r="C41" s="61" t="str">
        <f>IF($B41="","",الحضور!$C27)</f>
        <v>أروى العسيري</v>
      </c>
      <c r="D41" s="64">
        <f>IF($B41="","",الحضور!$J27)</f>
        <v>55</v>
      </c>
      <c r="E41" s="64">
        <f>IF($B41="","",الإعدادات!$C$29)</f>
        <v>360</v>
      </c>
      <c r="F41" s="64">
        <f t="shared" si="0"/>
        <v>0</v>
      </c>
      <c r="G41" s="51">
        <f>IF($B41="","",COUNTIFS(التوقيت!$B$6:$B$405,$B41,التوقيت!$G$6:$G$405,"&gt;0"))</f>
        <v>2</v>
      </c>
      <c r="H41" s="77">
        <f>IF($B41="","",IF($F41&lt;=0,0,SUMIFS(التوقيت!$K$6:$K$405,التوقيت!$B$6:$B$405,$B41)))</f>
        <v>0</v>
      </c>
      <c r="I41" s="51">
        <f>IF($B41="","",الحضور!$G27)</f>
        <v>0</v>
      </c>
      <c r="J41" s="77">
        <f t="shared" si="1"/>
        <v>0</v>
      </c>
      <c r="K41" s="77">
        <f t="shared" si="2"/>
        <v>0</v>
      </c>
      <c r="L41" s="78">
        <f>IF($B41="","",MIN($K41,الإعدادات!$C$30))</f>
        <v>0</v>
      </c>
      <c r="M41" s="79">
        <f>IF($B41="","",ROUND($L41*IFERROR(INDEX(الموظفون!$J$6:$J$45,MATCH($B41,الموظفون!$B$6:$B$45,0)),0),2))</f>
        <v>0</v>
      </c>
    </row>
    <row r="42" spans="2:13" ht="16.5" customHeight="1" x14ac:dyDescent="0.35">
      <c r="B42" s="62" t="str">
        <f>IF(الحضور!$B28="","",الحضور!$B28)</f>
        <v>EMP-021</v>
      </c>
      <c r="C42" s="61" t="str">
        <f>IF($B42="","",الحضور!$C28)</f>
        <v>مصطفى فهمي عبد الجواد</v>
      </c>
      <c r="D42" s="64">
        <f>IF($B42="","",الحضور!$J28)</f>
        <v>150</v>
      </c>
      <c r="E42" s="64">
        <f>IF($B42="","",الإعدادات!$C$29)</f>
        <v>360</v>
      </c>
      <c r="F42" s="64">
        <f t="shared" si="0"/>
        <v>0</v>
      </c>
      <c r="G42" s="51">
        <f>IF($B42="","",COUNTIFS(التوقيت!$B$6:$B$405,$B42,التوقيت!$G$6:$G$405,"&gt;0"))</f>
        <v>4</v>
      </c>
      <c r="H42" s="77">
        <f>IF($B42="","",IF($F42&lt;=0,0,SUMIFS(التوقيت!$K$6:$K$405,التوقيت!$B$6:$B$405,$B42)))</f>
        <v>0</v>
      </c>
      <c r="I42" s="51">
        <f>IF($B42="","",الحضور!$G28)</f>
        <v>0</v>
      </c>
      <c r="J42" s="77">
        <f t="shared" si="1"/>
        <v>0</v>
      </c>
      <c r="K42" s="77">
        <f t="shared" si="2"/>
        <v>0</v>
      </c>
      <c r="L42" s="78">
        <f>IF($B42="","",MIN($K42,الإعدادات!$C$30))</f>
        <v>0</v>
      </c>
      <c r="M42" s="79">
        <f>IF($B42="","",ROUND($L42*IFERROR(INDEX(الموظفون!$J$6:$J$45,MATCH($B42,الموظفون!$B$6:$B$45,0)),0),2))</f>
        <v>0</v>
      </c>
    </row>
    <row r="43" spans="2:13" ht="16.5" customHeight="1" x14ac:dyDescent="0.35">
      <c r="B43" s="62" t="str">
        <f>IF(الحضور!$B29="","",الحضور!$B29)</f>
        <v>EMP-022</v>
      </c>
      <c r="C43" s="61" t="str">
        <f>IF($B43="","",الحضور!$C29)</f>
        <v>تركي العنزي</v>
      </c>
      <c r="D43" s="64">
        <f>IF($B43="","",الحضور!$J29)</f>
        <v>42</v>
      </c>
      <c r="E43" s="64">
        <f>IF($B43="","",الإعدادات!$C$29)</f>
        <v>360</v>
      </c>
      <c r="F43" s="64">
        <f t="shared" si="0"/>
        <v>0</v>
      </c>
      <c r="G43" s="51">
        <f>IF($B43="","",COUNTIFS(التوقيت!$B$6:$B$405,$B43,التوقيت!$G$6:$G$405,"&gt;0"))</f>
        <v>4</v>
      </c>
      <c r="H43" s="77">
        <f>IF($B43="","",IF($F43&lt;=0,0,SUMIFS(التوقيت!$K$6:$K$405,التوقيت!$B$6:$B$405,$B43)))</f>
        <v>0</v>
      </c>
      <c r="I43" s="51">
        <f>IF($B43="","",الحضور!$G29)</f>
        <v>13</v>
      </c>
      <c r="J43" s="77">
        <f t="shared" si="1"/>
        <v>5</v>
      </c>
      <c r="K43" s="77">
        <f t="shared" si="2"/>
        <v>5</v>
      </c>
      <c r="L43" s="78">
        <f>IF($B43="","",MIN($K43,الإعدادات!$C$30))</f>
        <v>5</v>
      </c>
      <c r="M43" s="79">
        <f>IF($B43="","",ROUND($L43*IFERROR(INDEX(الموظفون!$J$6:$J$45,MATCH($B43,الموظفون!$B$6:$B$45,0)),0),2))</f>
        <v>2250</v>
      </c>
    </row>
    <row r="44" spans="2:13" ht="16.5" customHeight="1" x14ac:dyDescent="0.35">
      <c r="B44" s="62" t="str">
        <f>IF(الحضور!$B30="","",الحضور!$B30)</f>
        <v>EMP-023</v>
      </c>
      <c r="C44" s="61" t="str">
        <f>IF($B44="","",الحضور!$C30)</f>
        <v>تامر النجار</v>
      </c>
      <c r="D44" s="64">
        <f>IF($B44="","",الحضور!$J30)</f>
        <v>17</v>
      </c>
      <c r="E44" s="64">
        <f>IF($B44="","",الإعدادات!$C$29)</f>
        <v>360</v>
      </c>
      <c r="F44" s="64">
        <f t="shared" si="0"/>
        <v>0</v>
      </c>
      <c r="G44" s="51">
        <f>IF($B44="","",COUNTIFS(التوقيت!$B$6:$B$405,$B44,التوقيت!$G$6:$G$405,"&gt;0"))</f>
        <v>2</v>
      </c>
      <c r="H44" s="77">
        <f>IF($B44="","",IF($F44&lt;=0,0,SUMIFS(التوقيت!$K$6:$K$405,التوقيت!$B$6:$B$405,$B44)))</f>
        <v>0</v>
      </c>
      <c r="I44" s="51">
        <f>IF($B44="","",الحضور!$G30)</f>
        <v>0</v>
      </c>
      <c r="J44" s="77">
        <f t="shared" si="1"/>
        <v>0</v>
      </c>
      <c r="K44" s="77">
        <f t="shared" si="2"/>
        <v>0</v>
      </c>
      <c r="L44" s="78">
        <f>IF($B44="","",MIN($K44,الإعدادات!$C$30))</f>
        <v>0</v>
      </c>
      <c r="M44" s="79">
        <f>IF($B44="","",ROUND($L44*IFERROR(INDEX(الموظفون!$J$6:$J$45,MATCH($B44,الموظفون!$B$6:$B$45,0)),0),2))</f>
        <v>0</v>
      </c>
    </row>
    <row r="45" spans="2:13" ht="16.5" customHeight="1" x14ac:dyDescent="0.35">
      <c r="B45" s="62" t="str">
        <f>IF(الحضور!$B31="","",الحضور!$B31)</f>
        <v>EMP-024</v>
      </c>
      <c r="C45" s="61" t="str">
        <f>IF($B45="","",الحضور!$C31)</f>
        <v>نايف السبيعي</v>
      </c>
      <c r="D45" s="64">
        <f>IF($B45="","",الحضور!$J31)</f>
        <v>17</v>
      </c>
      <c r="E45" s="64">
        <f>IF($B45="","",الإعدادات!$C$29)</f>
        <v>360</v>
      </c>
      <c r="F45" s="64">
        <f t="shared" si="0"/>
        <v>0</v>
      </c>
      <c r="G45" s="51">
        <f>IF($B45="","",COUNTIFS(التوقيت!$B$6:$B$405,$B45,التوقيت!$G$6:$G$405,"&gt;0"))</f>
        <v>2</v>
      </c>
      <c r="H45" s="77">
        <f>IF($B45="","",IF($F45&lt;=0,0,SUMIFS(التوقيت!$K$6:$K$405,التوقيت!$B$6:$B$405,$B45)))</f>
        <v>0</v>
      </c>
      <c r="I45" s="51">
        <f>IF($B45="","",الحضور!$G31)</f>
        <v>0</v>
      </c>
      <c r="J45" s="77">
        <f t="shared" si="1"/>
        <v>0</v>
      </c>
      <c r="K45" s="77">
        <f t="shared" si="2"/>
        <v>0</v>
      </c>
      <c r="L45" s="78">
        <f>IF($B45="","",MIN($K45,الإعدادات!$C$30))</f>
        <v>0</v>
      </c>
      <c r="M45" s="79">
        <f>IF($B45="","",ROUND($L45*IFERROR(INDEX(الموظفون!$J$6:$J$45,MATCH($B45,الموظفون!$B$6:$B$45,0)),0),2))</f>
        <v>0</v>
      </c>
    </row>
    <row r="46" spans="2:13" ht="16.5" customHeight="1" x14ac:dyDescent="0.35">
      <c r="B46" s="62" t="str">
        <f>IF(الحضور!$B32="","",الحضور!$B32)</f>
        <v>EMP-025</v>
      </c>
      <c r="C46" s="61" t="str">
        <f>IF($B46="","",الحضور!$C32)</f>
        <v>إيمان صابر رفعت</v>
      </c>
      <c r="D46" s="64">
        <f>IF($B46="","",الحضور!$J32)</f>
        <v>5</v>
      </c>
      <c r="E46" s="64">
        <f>IF($B46="","",الإعدادات!$C$29)</f>
        <v>360</v>
      </c>
      <c r="F46" s="64">
        <f t="shared" si="0"/>
        <v>0</v>
      </c>
      <c r="G46" s="51">
        <f>IF($B46="","",COUNTIFS(التوقيت!$B$6:$B$405,$B46,التوقيت!$G$6:$G$405,"&gt;0"))</f>
        <v>1</v>
      </c>
      <c r="H46" s="77">
        <f>IF($B46="","",IF($F46&lt;=0,0,SUMIFS(التوقيت!$K$6:$K$405,التوقيت!$B$6:$B$405,$B46)))</f>
        <v>0</v>
      </c>
      <c r="I46" s="51">
        <f>IF($B46="","",الحضور!$G32)</f>
        <v>0</v>
      </c>
      <c r="J46" s="77">
        <f t="shared" si="1"/>
        <v>0</v>
      </c>
      <c r="K46" s="77">
        <f t="shared" si="2"/>
        <v>0</v>
      </c>
      <c r="L46" s="78">
        <f>IF($B46="","",MIN($K46,الإعدادات!$C$30))</f>
        <v>0</v>
      </c>
      <c r="M46" s="79">
        <f>IF($B46="","",ROUND($L46*IFERROR(INDEX(الموظفون!$J$6:$J$45,MATCH($B46,الموظفون!$B$6:$B$45,0)),0),2))</f>
        <v>0</v>
      </c>
    </row>
    <row r="47" spans="2:13" ht="16.5" customHeight="1" x14ac:dyDescent="0.35">
      <c r="B47" s="62" t="str">
        <f>IF(الحضور!$B33="","",الحضور!$B33)</f>
        <v>EMP-026</v>
      </c>
      <c r="C47" s="61" t="str">
        <f>IF($B47="","",الحضور!$C33)</f>
        <v>منال المطيري</v>
      </c>
      <c r="D47" s="64">
        <f>IF($B47="","",الحضور!$J33)</f>
        <v>102</v>
      </c>
      <c r="E47" s="64">
        <f>IF($B47="","",الإعدادات!$C$29)</f>
        <v>360</v>
      </c>
      <c r="F47" s="64">
        <f t="shared" si="0"/>
        <v>0</v>
      </c>
      <c r="G47" s="51">
        <f>IF($B47="","",COUNTIFS(التوقيت!$B$6:$B$405,$B47,التوقيت!$G$6:$G$405,"&gt;0"))</f>
        <v>4</v>
      </c>
      <c r="H47" s="77">
        <f>IF($B47="","",IF($F47&lt;=0,0,SUMIFS(التوقيت!$K$6:$K$405,التوقيت!$B$6:$B$405,$B47)))</f>
        <v>0</v>
      </c>
      <c r="I47" s="51">
        <f>IF($B47="","",الحضور!$G33)</f>
        <v>4</v>
      </c>
      <c r="J47" s="77">
        <f t="shared" si="1"/>
        <v>2</v>
      </c>
      <c r="K47" s="77">
        <f t="shared" si="2"/>
        <v>2</v>
      </c>
      <c r="L47" s="78">
        <f>IF($B47="","",MIN($K47,الإعدادات!$C$30))</f>
        <v>2</v>
      </c>
      <c r="M47" s="79">
        <f>IF($B47="","",ROUND($L47*IFERROR(INDEX(الموظفون!$J$6:$J$45,MATCH($B47,الموظفون!$B$6:$B$45,0)),0),2))</f>
        <v>1133.3399999999999</v>
      </c>
    </row>
    <row r="48" spans="2:13" ht="16.5" customHeight="1" x14ac:dyDescent="0.35">
      <c r="B48" s="62" t="str">
        <f>IF(الحضور!$B34="","",الحضور!$B34)</f>
        <v>EMP-027</v>
      </c>
      <c r="C48" s="61" t="str">
        <f>IF($B48="","",الحضور!$C34)</f>
        <v>أميرة زكي الحسيني</v>
      </c>
      <c r="D48" s="64">
        <f>IF($B48="","",الحضور!$J34)</f>
        <v>5</v>
      </c>
      <c r="E48" s="64">
        <f>IF($B48="","",الإعدادات!$C$29)</f>
        <v>360</v>
      </c>
      <c r="F48" s="64">
        <f t="shared" si="0"/>
        <v>0</v>
      </c>
      <c r="G48" s="51">
        <f>IF($B48="","",COUNTIFS(التوقيت!$B$6:$B$405,$B48,التوقيت!$G$6:$G$405,"&gt;0"))</f>
        <v>1</v>
      </c>
      <c r="H48" s="77">
        <f>IF($B48="","",IF($F48&lt;=0,0,SUMIFS(التوقيت!$K$6:$K$405,التوقيت!$B$6:$B$405,$B48)))</f>
        <v>0</v>
      </c>
      <c r="I48" s="51">
        <f>IF($B48="","",الحضور!$G34)</f>
        <v>0</v>
      </c>
      <c r="J48" s="77">
        <f t="shared" si="1"/>
        <v>0</v>
      </c>
      <c r="K48" s="77">
        <f t="shared" si="2"/>
        <v>0</v>
      </c>
      <c r="L48" s="78">
        <f>IF($B48="","",MIN($K48,الإعدادات!$C$30))</f>
        <v>0</v>
      </c>
      <c r="M48" s="79">
        <f>IF($B48="","",ROUND($L48*IFERROR(INDEX(الموظفون!$J$6:$J$45,MATCH($B48,الموظفون!$B$6:$B$45,0)),0),2))</f>
        <v>0</v>
      </c>
    </row>
    <row r="49" spans="1:14" ht="16.5" customHeight="1" x14ac:dyDescent="0.35">
      <c r="B49" s="62" t="str">
        <f>IF(الحضور!$B35="","",الحضور!$B35)</f>
        <v>EMP-028</v>
      </c>
      <c r="C49" s="61" t="str">
        <f>IF($B49="","",الحضور!$C35)</f>
        <v>دلال البلوي</v>
      </c>
      <c r="D49" s="64">
        <f>IF($B49="","",الحضور!$J35)</f>
        <v>879</v>
      </c>
      <c r="E49" s="64">
        <f>IF($B49="","",الإعدادات!$C$29)</f>
        <v>360</v>
      </c>
      <c r="F49" s="64">
        <f t="shared" si="0"/>
        <v>519</v>
      </c>
      <c r="G49" s="51">
        <f>IF($B49="","",COUNTIFS(التوقيت!$B$6:$B$405,$B49,التوقيت!$G$6:$G$405,"&gt;0"))</f>
        <v>20</v>
      </c>
      <c r="H49" s="77">
        <f>IF($B49="","",IF($F49&lt;=0,0,SUMIFS(التوقيت!$K$6:$K$405,التوقيت!$B$6:$B$405,$B49)))</f>
        <v>20.149999999999999</v>
      </c>
      <c r="I49" s="51">
        <f>IF($B49="","",الحضور!$G35)</f>
        <v>0</v>
      </c>
      <c r="J49" s="77">
        <f t="shared" si="1"/>
        <v>0</v>
      </c>
      <c r="K49" s="77">
        <f t="shared" si="2"/>
        <v>20.149999999999999</v>
      </c>
      <c r="L49" s="78">
        <f>IF($B49="","",MIN($K49,الإعدادات!$C$30))</f>
        <v>5</v>
      </c>
      <c r="M49" s="79">
        <f>IF($B49="","",ROUND($L49*IFERROR(INDEX(الموظفون!$J$6:$J$45,MATCH($B49,الموظفون!$B$6:$B$45,0)),0),2))</f>
        <v>1216.6500000000001</v>
      </c>
    </row>
    <row r="50" spans="1:14" ht="16.5" customHeight="1" x14ac:dyDescent="0.35">
      <c r="B50" s="62" t="str">
        <f>IF(الحضور!$B36="","",الحضور!$B36)</f>
        <v>EMP-029</v>
      </c>
      <c r="C50" s="61" t="str">
        <f>IF($B50="","",الحضور!$C36)</f>
        <v>نادية عبد الحميد</v>
      </c>
      <c r="D50" s="64">
        <f>IF($B50="","",الحضور!$J36)</f>
        <v>24</v>
      </c>
      <c r="E50" s="64">
        <f>IF($B50="","",الإعدادات!$C$29)</f>
        <v>360</v>
      </c>
      <c r="F50" s="64">
        <f t="shared" si="0"/>
        <v>0</v>
      </c>
      <c r="G50" s="51">
        <f>IF($B50="","",COUNTIFS(التوقيت!$B$6:$B$405,$B50,التوقيت!$G$6:$G$405,"&gt;0"))</f>
        <v>2</v>
      </c>
      <c r="H50" s="77">
        <f>IF($B50="","",IF($F50&lt;=0,0,SUMIFS(التوقيت!$K$6:$K$405,التوقيت!$B$6:$B$405,$B50)))</f>
        <v>0</v>
      </c>
      <c r="I50" s="51">
        <f>IF($B50="","",الحضور!$G36)</f>
        <v>1</v>
      </c>
      <c r="J50" s="77">
        <f t="shared" si="1"/>
        <v>0.5</v>
      </c>
      <c r="K50" s="77">
        <f t="shared" si="2"/>
        <v>0.5</v>
      </c>
      <c r="L50" s="78">
        <f>IF($B50="","",MIN($K50,الإعدادات!$C$30))</f>
        <v>0.5</v>
      </c>
      <c r="M50" s="79">
        <f>IF($B50="","",ROUND($L50*IFERROR(INDEX(الموظفون!$J$6:$J$45,MATCH($B50,الموظفون!$B$6:$B$45,0)),0),2))</f>
        <v>135</v>
      </c>
    </row>
    <row r="51" spans="1:14" ht="16.5" customHeight="1" x14ac:dyDescent="0.35">
      <c r="B51" s="62" t="str">
        <f>IF(الحضور!$B37="","",الحضور!$B37)</f>
        <v>EMP-030</v>
      </c>
      <c r="C51" s="61" t="str">
        <f>IF($B51="","",الحضور!$C37)</f>
        <v>مي الفهد</v>
      </c>
      <c r="D51" s="64">
        <f>IF($B51="","",الحضور!$J37)</f>
        <v>29</v>
      </c>
      <c r="E51" s="64">
        <f>IF($B51="","",الإعدادات!$C$29)</f>
        <v>360</v>
      </c>
      <c r="F51" s="64">
        <f t="shared" si="0"/>
        <v>0</v>
      </c>
      <c r="G51" s="51">
        <f>IF($B51="","",COUNTIFS(التوقيت!$B$6:$B$405,$B51,التوقيت!$G$6:$G$405,"&gt;0"))</f>
        <v>3</v>
      </c>
      <c r="H51" s="77">
        <f>IF($B51="","",IF($F51&lt;=0,0,SUMIFS(التوقيت!$K$6:$K$405,التوقيت!$B$6:$B$405,$B51)))</f>
        <v>0</v>
      </c>
      <c r="I51" s="51">
        <f>IF($B51="","",الحضور!$G37)</f>
        <v>0</v>
      </c>
      <c r="J51" s="77">
        <f t="shared" si="1"/>
        <v>0</v>
      </c>
      <c r="K51" s="77">
        <f t="shared" si="2"/>
        <v>0</v>
      </c>
      <c r="L51" s="78">
        <f>IF($B51="","",MIN($K51,الإعدادات!$C$30))</f>
        <v>0</v>
      </c>
      <c r="M51" s="79">
        <f>IF($B51="","",ROUND($L51*IFERROR(INDEX(الموظفون!$J$6:$J$45,MATCH($B51,الموظفون!$B$6:$B$45,0)),0),2))</f>
        <v>0</v>
      </c>
    </row>
    <row r="52" spans="1:14" ht="16.5" customHeight="1" x14ac:dyDescent="0.35">
      <c r="B52" s="62" t="str">
        <f>IF(الحضور!$B38="","",الحضور!$B38)</f>
        <v/>
      </c>
      <c r="C52" s="61" t="str">
        <f>IF($B52="","",الحضور!$C38)</f>
        <v/>
      </c>
      <c r="D52" s="64" t="str">
        <f>IF($B52="","",الحضور!$J38)</f>
        <v/>
      </c>
      <c r="E52" s="64" t="str">
        <f>IF($B52="","",الإعدادات!$C$29)</f>
        <v/>
      </c>
      <c r="F52" s="64" t="str">
        <f t="shared" si="0"/>
        <v/>
      </c>
      <c r="G52" s="51" t="str">
        <f>IF($B52="","",COUNTIFS(التوقيت!$B$6:$B$405,$B52,التوقيت!$G$6:$G$405,"&gt;0"))</f>
        <v/>
      </c>
      <c r="H52" s="77" t="str">
        <f>IF($B52="","",IF($F52&lt;=0,0,SUMIFS(التوقيت!$K$6:$K$405,التوقيت!$B$6:$B$405,$B52)))</f>
        <v/>
      </c>
      <c r="I52" s="51" t="str">
        <f>IF($B52="","",الحضور!$G38)</f>
        <v/>
      </c>
      <c r="J52" s="77" t="str">
        <f t="shared" si="1"/>
        <v/>
      </c>
      <c r="K52" s="77" t="str">
        <f t="shared" si="2"/>
        <v/>
      </c>
      <c r="L52" s="78" t="str">
        <f>IF($B52="","",MIN($K52,الإعدادات!$C$30))</f>
        <v/>
      </c>
      <c r="M52" s="79" t="str">
        <f>IF($B52="","",ROUND($L52*IFERROR(INDEX(الموظفون!$J$6:$J$45,MATCH($B52,الموظفون!$B$6:$B$45,0)),0),2))</f>
        <v/>
      </c>
    </row>
    <row r="53" spans="1:14" ht="16.5" customHeight="1" x14ac:dyDescent="0.35">
      <c r="B53" s="62" t="str">
        <f>IF(الحضور!$B39="","",الحضور!$B39)</f>
        <v/>
      </c>
      <c r="C53" s="61" t="str">
        <f>IF($B53="","",الحضور!$C39)</f>
        <v/>
      </c>
      <c r="D53" s="64" t="str">
        <f>IF($B53="","",الحضور!$J39)</f>
        <v/>
      </c>
      <c r="E53" s="64" t="str">
        <f>IF($B53="","",الإعدادات!$C$29)</f>
        <v/>
      </c>
      <c r="F53" s="64" t="str">
        <f t="shared" si="0"/>
        <v/>
      </c>
      <c r="G53" s="51" t="str">
        <f>IF($B53="","",COUNTIFS(التوقيت!$B$6:$B$405,$B53,التوقيت!$G$6:$G$405,"&gt;0"))</f>
        <v/>
      </c>
      <c r="H53" s="77" t="str">
        <f>IF($B53="","",IF($F53&lt;=0,0,SUMIFS(التوقيت!$K$6:$K$405,التوقيت!$B$6:$B$405,$B53)))</f>
        <v/>
      </c>
      <c r="I53" s="51" t="str">
        <f>IF($B53="","",الحضور!$G39)</f>
        <v/>
      </c>
      <c r="J53" s="77" t="str">
        <f t="shared" si="1"/>
        <v/>
      </c>
      <c r="K53" s="77" t="str">
        <f t="shared" si="2"/>
        <v/>
      </c>
      <c r="L53" s="78" t="str">
        <f>IF($B53="","",MIN($K53,الإعدادات!$C$30))</f>
        <v/>
      </c>
      <c r="M53" s="79" t="str">
        <f>IF($B53="","",ROUND($L53*IFERROR(INDEX(الموظفون!$J$6:$J$45,MATCH($B53,الموظفون!$B$6:$B$45,0)),0),2))</f>
        <v/>
      </c>
    </row>
    <row r="54" spans="1:14" ht="16.5" customHeight="1" x14ac:dyDescent="0.35">
      <c r="B54" s="62" t="str">
        <f>IF(الحضور!$B40="","",الحضور!$B40)</f>
        <v/>
      </c>
      <c r="C54" s="61" t="str">
        <f>IF($B54="","",الحضور!$C40)</f>
        <v/>
      </c>
      <c r="D54" s="64" t="str">
        <f>IF($B54="","",الحضور!$J40)</f>
        <v/>
      </c>
      <c r="E54" s="64" t="str">
        <f>IF($B54="","",الإعدادات!$C$29)</f>
        <v/>
      </c>
      <c r="F54" s="64" t="str">
        <f t="shared" si="0"/>
        <v/>
      </c>
      <c r="G54" s="51" t="str">
        <f>IF($B54="","",COUNTIFS(التوقيت!$B$6:$B$405,$B54,التوقيت!$G$6:$G$405,"&gt;0"))</f>
        <v/>
      </c>
      <c r="H54" s="77" t="str">
        <f>IF($B54="","",IF($F54&lt;=0,0,SUMIFS(التوقيت!$K$6:$K$405,التوقيت!$B$6:$B$405,$B54)))</f>
        <v/>
      </c>
      <c r="I54" s="51" t="str">
        <f>IF($B54="","",الحضور!$G40)</f>
        <v/>
      </c>
      <c r="J54" s="77" t="str">
        <f t="shared" si="1"/>
        <v/>
      </c>
      <c r="K54" s="77" t="str">
        <f t="shared" si="2"/>
        <v/>
      </c>
      <c r="L54" s="78" t="str">
        <f>IF($B54="","",MIN($K54,الإعدادات!$C$30))</f>
        <v/>
      </c>
      <c r="M54" s="79" t="str">
        <f>IF($B54="","",ROUND($L54*IFERROR(INDEX(الموظفون!$J$6:$J$45,MATCH($B54,الموظفون!$B$6:$B$45,0)),0),2))</f>
        <v/>
      </c>
    </row>
    <row r="55" spans="1:14" ht="16.5" customHeight="1" x14ac:dyDescent="0.35">
      <c r="B55" s="62" t="str">
        <f>IF(الحضور!$B41="","",الحضور!$B41)</f>
        <v/>
      </c>
      <c r="C55" s="61" t="str">
        <f>IF($B55="","",الحضور!$C41)</f>
        <v/>
      </c>
      <c r="D55" s="64" t="str">
        <f>IF($B55="","",الحضور!$J41)</f>
        <v/>
      </c>
      <c r="E55" s="64" t="str">
        <f>IF($B55="","",الإعدادات!$C$29)</f>
        <v/>
      </c>
      <c r="F55" s="64" t="str">
        <f t="shared" si="0"/>
        <v/>
      </c>
      <c r="G55" s="51" t="str">
        <f>IF($B55="","",COUNTIFS(التوقيت!$B$6:$B$405,$B55,التوقيت!$G$6:$G$405,"&gt;0"))</f>
        <v/>
      </c>
      <c r="H55" s="77" t="str">
        <f>IF($B55="","",IF($F55&lt;=0,0,SUMIFS(التوقيت!$K$6:$K$405,التوقيت!$B$6:$B$405,$B55)))</f>
        <v/>
      </c>
      <c r="I55" s="51" t="str">
        <f>IF($B55="","",الحضور!$G41)</f>
        <v/>
      </c>
      <c r="J55" s="77" t="str">
        <f t="shared" si="1"/>
        <v/>
      </c>
      <c r="K55" s="77" t="str">
        <f t="shared" si="2"/>
        <v/>
      </c>
      <c r="L55" s="78" t="str">
        <f>IF($B55="","",MIN($K55,الإعدادات!$C$30))</f>
        <v/>
      </c>
      <c r="M55" s="79" t="str">
        <f>IF($B55="","",ROUND($L55*IFERROR(INDEX(الموظفون!$J$6:$J$45,MATCH($B55,الموظفون!$B$6:$B$45,0)),0),2))</f>
        <v/>
      </c>
    </row>
    <row r="56" spans="1:14" ht="16.5" customHeight="1" x14ac:dyDescent="0.35">
      <c r="B56" s="62" t="str">
        <f>IF(الحضور!$B42="","",الحضور!$B42)</f>
        <v/>
      </c>
      <c r="C56" s="61" t="str">
        <f>IF($B56="","",الحضور!$C42)</f>
        <v/>
      </c>
      <c r="D56" s="64" t="str">
        <f>IF($B56="","",الحضور!$J42)</f>
        <v/>
      </c>
      <c r="E56" s="64" t="str">
        <f>IF($B56="","",الإعدادات!$C$29)</f>
        <v/>
      </c>
      <c r="F56" s="64" t="str">
        <f t="shared" si="0"/>
        <v/>
      </c>
      <c r="G56" s="51" t="str">
        <f>IF($B56="","",COUNTIFS(التوقيت!$B$6:$B$405,$B56,التوقيت!$G$6:$G$405,"&gt;0"))</f>
        <v/>
      </c>
      <c r="H56" s="77" t="str">
        <f>IF($B56="","",IF($F56&lt;=0,0,SUMIFS(التوقيت!$K$6:$K$405,التوقيت!$B$6:$B$405,$B56)))</f>
        <v/>
      </c>
      <c r="I56" s="51" t="str">
        <f>IF($B56="","",الحضور!$G42)</f>
        <v/>
      </c>
      <c r="J56" s="77" t="str">
        <f t="shared" si="1"/>
        <v/>
      </c>
      <c r="K56" s="77" t="str">
        <f t="shared" si="2"/>
        <v/>
      </c>
      <c r="L56" s="78" t="str">
        <f>IF($B56="","",MIN($K56,الإعدادات!$C$30))</f>
        <v/>
      </c>
      <c r="M56" s="79" t="str">
        <f>IF($B56="","",ROUND($L56*IFERROR(INDEX(الموظفون!$J$6:$J$45,MATCH($B56,الموظفون!$B$6:$B$45,0)),0),2))</f>
        <v/>
      </c>
    </row>
    <row r="57" spans="1:14" ht="16.5" customHeight="1" x14ac:dyDescent="0.35">
      <c r="B57" s="62" t="str">
        <f>IF(الحضور!$B43="","",الحضور!$B43)</f>
        <v/>
      </c>
      <c r="C57" s="61" t="str">
        <f>IF($B57="","",الحضور!$C43)</f>
        <v/>
      </c>
      <c r="D57" s="64" t="str">
        <f>IF($B57="","",الحضور!$J43)</f>
        <v/>
      </c>
      <c r="E57" s="64" t="str">
        <f>IF($B57="","",الإعدادات!$C$29)</f>
        <v/>
      </c>
      <c r="F57" s="64" t="str">
        <f t="shared" si="0"/>
        <v/>
      </c>
      <c r="G57" s="51" t="str">
        <f>IF($B57="","",COUNTIFS(التوقيت!$B$6:$B$405,$B57,التوقيت!$G$6:$G$405,"&gt;0"))</f>
        <v/>
      </c>
      <c r="H57" s="77" t="str">
        <f>IF($B57="","",IF($F57&lt;=0,0,SUMIFS(التوقيت!$K$6:$K$405,التوقيت!$B$6:$B$405,$B57)))</f>
        <v/>
      </c>
      <c r="I57" s="51" t="str">
        <f>IF($B57="","",الحضور!$G43)</f>
        <v/>
      </c>
      <c r="J57" s="77" t="str">
        <f t="shared" si="1"/>
        <v/>
      </c>
      <c r="K57" s="77" t="str">
        <f t="shared" si="2"/>
        <v/>
      </c>
      <c r="L57" s="78" t="str">
        <f>IF($B57="","",MIN($K57,الإعدادات!$C$30))</f>
        <v/>
      </c>
      <c r="M57" s="79" t="str">
        <f>IF($B57="","",ROUND($L57*IFERROR(INDEX(الموظفون!$J$6:$J$45,MATCH($B57,الموظفون!$B$6:$B$45,0)),0),2))</f>
        <v/>
      </c>
    </row>
    <row r="58" spans="1:14" ht="16.5" customHeight="1" x14ac:dyDescent="0.35">
      <c r="B58" s="62" t="str">
        <f>IF(الحضور!$B44="","",الحضور!$B44)</f>
        <v/>
      </c>
      <c r="C58" s="61" t="str">
        <f>IF($B58="","",الحضور!$C44)</f>
        <v/>
      </c>
      <c r="D58" s="64" t="str">
        <f>IF($B58="","",الحضور!$J44)</f>
        <v/>
      </c>
      <c r="E58" s="64" t="str">
        <f>IF($B58="","",الإعدادات!$C$29)</f>
        <v/>
      </c>
      <c r="F58" s="64" t="str">
        <f t="shared" si="0"/>
        <v/>
      </c>
      <c r="G58" s="51" t="str">
        <f>IF($B58="","",COUNTIFS(التوقيت!$B$6:$B$405,$B58,التوقيت!$G$6:$G$405,"&gt;0"))</f>
        <v/>
      </c>
      <c r="H58" s="77" t="str">
        <f>IF($B58="","",IF($F58&lt;=0,0,SUMIFS(التوقيت!$K$6:$K$405,التوقيت!$B$6:$B$405,$B58)))</f>
        <v/>
      </c>
      <c r="I58" s="51" t="str">
        <f>IF($B58="","",الحضور!$G44)</f>
        <v/>
      </c>
      <c r="J58" s="77" t="str">
        <f t="shared" si="1"/>
        <v/>
      </c>
      <c r="K58" s="77" t="str">
        <f t="shared" si="2"/>
        <v/>
      </c>
      <c r="L58" s="78" t="str">
        <f>IF($B58="","",MIN($K58,الإعدادات!$C$30))</f>
        <v/>
      </c>
      <c r="M58" s="79" t="str">
        <f>IF($B58="","",ROUND($L58*IFERROR(INDEX(الموظفون!$J$6:$J$45,MATCH($B58,الموظفون!$B$6:$B$45,0)),0),2))</f>
        <v/>
      </c>
    </row>
    <row r="59" spans="1:14" ht="16.5" customHeight="1" x14ac:dyDescent="0.35">
      <c r="B59" s="62" t="str">
        <f>IF(الحضور!$B45="","",الحضور!$B45)</f>
        <v/>
      </c>
      <c r="C59" s="61" t="str">
        <f>IF($B59="","",الحضور!$C45)</f>
        <v/>
      </c>
      <c r="D59" s="64" t="str">
        <f>IF($B59="","",الحضور!$J45)</f>
        <v/>
      </c>
      <c r="E59" s="64" t="str">
        <f>IF($B59="","",الإعدادات!$C$29)</f>
        <v/>
      </c>
      <c r="F59" s="64" t="str">
        <f t="shared" si="0"/>
        <v/>
      </c>
      <c r="G59" s="51" t="str">
        <f>IF($B59="","",COUNTIFS(التوقيت!$B$6:$B$405,$B59,التوقيت!$G$6:$G$405,"&gt;0"))</f>
        <v/>
      </c>
      <c r="H59" s="77" t="str">
        <f>IF($B59="","",IF($F59&lt;=0,0,SUMIFS(التوقيت!$K$6:$K$405,التوقيت!$B$6:$B$405,$B59)))</f>
        <v/>
      </c>
      <c r="I59" s="51" t="str">
        <f>IF($B59="","",الحضور!$G45)</f>
        <v/>
      </c>
      <c r="J59" s="77" t="str">
        <f t="shared" si="1"/>
        <v/>
      </c>
      <c r="K59" s="77" t="str">
        <f t="shared" si="2"/>
        <v/>
      </c>
      <c r="L59" s="78" t="str">
        <f>IF($B59="","",MIN($K59,الإعدادات!$C$30))</f>
        <v/>
      </c>
      <c r="M59" s="79" t="str">
        <f>IF($B59="","",ROUND($L59*IFERROR(INDEX(الموظفون!$J$6:$J$45,MATCH($B59,الموظفون!$B$6:$B$45,0)),0),2))</f>
        <v/>
      </c>
    </row>
    <row r="60" spans="1:14" ht="16.5" customHeight="1" x14ac:dyDescent="0.35">
      <c r="B60" s="62" t="str">
        <f>IF(الحضور!$B46="","",الحضور!$B46)</f>
        <v/>
      </c>
      <c r="C60" s="61" t="str">
        <f>IF($B60="","",الحضور!$C46)</f>
        <v/>
      </c>
      <c r="D60" s="64" t="str">
        <f>IF($B60="","",الحضور!$J46)</f>
        <v/>
      </c>
      <c r="E60" s="64" t="str">
        <f>IF($B60="","",الإعدادات!$C$29)</f>
        <v/>
      </c>
      <c r="F60" s="64" t="str">
        <f t="shared" si="0"/>
        <v/>
      </c>
      <c r="G60" s="51" t="str">
        <f>IF($B60="","",COUNTIFS(التوقيت!$B$6:$B$405,$B60,التوقيت!$G$6:$G$405,"&gt;0"))</f>
        <v/>
      </c>
      <c r="H60" s="77" t="str">
        <f>IF($B60="","",IF($F60&lt;=0,0,SUMIFS(التوقيت!$K$6:$K$405,التوقيت!$B$6:$B$405,$B60)))</f>
        <v/>
      </c>
      <c r="I60" s="51" t="str">
        <f>IF($B60="","",الحضور!$G46)</f>
        <v/>
      </c>
      <c r="J60" s="77" t="str">
        <f t="shared" si="1"/>
        <v/>
      </c>
      <c r="K60" s="77" t="str">
        <f t="shared" si="2"/>
        <v/>
      </c>
      <c r="L60" s="78" t="str">
        <f>IF($B60="","",MIN($K60,الإعدادات!$C$30))</f>
        <v/>
      </c>
      <c r="M60" s="79" t="str">
        <f>IF($B60="","",ROUND($L60*IFERROR(INDEX(الموظفون!$J$6:$J$45,MATCH($B60,الموظفون!$B$6:$B$45,0)),0),2))</f>
        <v/>
      </c>
    </row>
    <row r="61" spans="1:14" ht="16.5" customHeight="1" x14ac:dyDescent="0.35">
      <c r="B61" s="62" t="str">
        <f>IF(الحضور!$B47="","",الحضور!$B47)</f>
        <v/>
      </c>
      <c r="C61" s="61" t="str">
        <f>IF($B61="","",الحضور!$C47)</f>
        <v/>
      </c>
      <c r="D61" s="64" t="str">
        <f>IF($B61="","",الحضور!$J47)</f>
        <v/>
      </c>
      <c r="E61" s="64" t="str">
        <f>IF($B61="","",الإعدادات!$C$29)</f>
        <v/>
      </c>
      <c r="F61" s="64" t="str">
        <f t="shared" si="0"/>
        <v/>
      </c>
      <c r="G61" s="51" t="str">
        <f>IF($B61="","",COUNTIFS(التوقيت!$B$6:$B$405,$B61,التوقيت!$G$6:$G$405,"&gt;0"))</f>
        <v/>
      </c>
      <c r="H61" s="77" t="str">
        <f>IF($B61="","",IF($F61&lt;=0,0,SUMIFS(التوقيت!$K$6:$K$405,التوقيت!$B$6:$B$405,$B61)))</f>
        <v/>
      </c>
      <c r="I61" s="51" t="str">
        <f>IF($B61="","",الحضور!$G47)</f>
        <v/>
      </c>
      <c r="J61" s="77" t="str">
        <f t="shared" si="1"/>
        <v/>
      </c>
      <c r="K61" s="77" t="str">
        <f t="shared" si="2"/>
        <v/>
      </c>
      <c r="L61" s="78" t="str">
        <f>IF($B61="","",MIN($K61,الإعدادات!$C$30))</f>
        <v/>
      </c>
      <c r="M61" s="79" t="str">
        <f>IF($B61="","",ROUND($L61*IFERROR(INDEX(الموظفون!$J$6:$J$45,MATCH($B61,الموظفون!$B$6:$B$45,0)),0),2))</f>
        <v/>
      </c>
    </row>
    <row r="62" spans="1:14" x14ac:dyDescent="0.35">
      <c r="B62" s="2" t="s">
        <v>377</v>
      </c>
      <c r="C62" s="2"/>
      <c r="D62" s="56">
        <f>SUM(D22:D61)</f>
        <v>3462</v>
      </c>
      <c r="H62" s="80">
        <f t="shared" ref="H62:M62" si="3">SUM(H22:H61)</f>
        <v>37.75</v>
      </c>
      <c r="I62" s="54">
        <f t="shared" si="3"/>
        <v>38</v>
      </c>
      <c r="J62" s="80">
        <f t="shared" si="3"/>
        <v>18.5</v>
      </c>
      <c r="K62" s="80">
        <f t="shared" si="3"/>
        <v>56.25</v>
      </c>
      <c r="L62" s="80">
        <f t="shared" si="3"/>
        <v>33.5</v>
      </c>
      <c r="M62" s="81">
        <f t="shared" si="3"/>
        <v>10543.36</v>
      </c>
    </row>
    <row r="64" spans="1:14" ht="25.5" customHeight="1" x14ac:dyDescent="0.35">
      <c r="A64" s="7" t="s">
        <v>378</v>
      </c>
      <c r="B64" s="7"/>
      <c r="C64" s="7"/>
      <c r="D64" s="7"/>
      <c r="E64" s="7"/>
      <c r="F64" s="7"/>
      <c r="G64" s="7"/>
      <c r="H64" s="7"/>
      <c r="I64" s="7"/>
      <c r="J64" s="7"/>
      <c r="K64" s="7"/>
      <c r="L64" s="7"/>
      <c r="M64" s="7"/>
      <c r="N64" s="7"/>
    </row>
    <row r="65" spans="1:14" ht="25.5" customHeight="1" x14ac:dyDescent="0.35">
      <c r="A65" s="9" t="s">
        <v>379</v>
      </c>
      <c r="B65" s="9"/>
      <c r="C65" s="9"/>
      <c r="D65" s="9"/>
      <c r="E65" s="9"/>
      <c r="F65" s="9"/>
      <c r="G65" s="9"/>
      <c r="H65" s="9"/>
      <c r="I65" s="9"/>
      <c r="J65" s="9"/>
      <c r="K65" s="9"/>
      <c r="L65" s="9"/>
      <c r="M65" s="9"/>
      <c r="N65" s="9"/>
    </row>
  </sheetData>
  <sheetProtection sheet="1" formatCells="0" formatColumns="0" formatRows="0" sort="0" autoFilter="0"/>
  <mergeCells count="10">
    <mergeCell ref="A18:N18"/>
    <mergeCell ref="B20:N20"/>
    <mergeCell ref="B62:C62"/>
    <mergeCell ref="A64:N64"/>
    <mergeCell ref="A65:N65"/>
    <mergeCell ref="A1:N1"/>
    <mergeCell ref="A2:N2"/>
    <mergeCell ref="B4:H4"/>
    <mergeCell ref="A10:N10"/>
    <mergeCell ref="B12:H12"/>
  </mergeCells>
  <conditionalFormatting sqref="M22:M61">
    <cfRule type="dataBar" priority="3">
      <dataBar>
        <cfvo type="min"/>
        <cfvo type="max"/>
        <color rgb="FFA8382F"/>
      </dataBar>
      <extLst>
        <ext xmlns:x14="http://schemas.microsoft.com/office/spreadsheetml/2009/9/main" uri="{B025F937-C7B1-47D3-B67F-A62EFF666E3E}">
          <x14:id>{54528D32-57BF-406E-9E1F-1A61C0AA6ECC}</x14:id>
        </ext>
      </extLst>
    </cfRule>
  </conditionalFormatting>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78C0D931-6437-407d-A8EE-F0AAD7539E65}">
      <x14:conditionalFormattings>
        <x14:conditionalFormatting xmlns:xm="http://schemas.microsoft.com/office/excel/2006/main">
          <x14:cfRule type="expression" priority="2" id="{00000000-000E-0000-0700-000002000000}">
            <xm:f>AND($K22&lt;&gt;"",$K22&gt;الإعدادات!$C$30)</xm:f>
            <x14:dxf>
              <font>
                <b/>
                <sz val="10"/>
                <color rgb="FFA8382F"/>
                <name val="Arial"/>
                <charset val="1"/>
              </font>
              <fill>
                <patternFill>
                  <bgColor rgb="FFFBEAE8"/>
                </patternFill>
              </fill>
            </x14:dxf>
          </x14:cfRule>
          <xm:sqref>K22:K61</xm:sqref>
        </x14:conditionalFormatting>
        <x14:conditionalFormatting xmlns:xm="http://schemas.microsoft.com/office/excel/2006/main">
          <x14:cfRule type="dataBar" id="{54528D32-57BF-406E-9E1F-1A61C0AA6ECC}">
            <x14:dataBar axisPosition="none">
              <x14:cfvo type="min"/>
              <x14:cfvo type="max"/>
              <x14:negativeFillColor rgb="FFA8382F"/>
            </x14:dataBar>
          </x14:cfRule>
          <xm:sqref>M22:M61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9"/>
  <sheetViews>
    <sheetView showGridLines="0" rightToLeft="1" tabSelected="1" zoomScaleNormal="100" workbookViewId="0">
      <pane xSplit="3" ySplit="5" topLeftCell="D6" activePane="bottomRight" state="frozen"/>
      <selection pane="topRight" activeCell="D1" sqref="D1"/>
      <selection pane="bottomLeft" activeCell="A6" sqref="A6"/>
      <selection pane="bottomRight" activeCell="F35" sqref="F35"/>
    </sheetView>
  </sheetViews>
  <sheetFormatPr defaultColWidth="8.6328125" defaultRowHeight="14.5" x14ac:dyDescent="0.35"/>
  <cols>
    <col min="1" max="1" width="5" customWidth="1"/>
    <col min="2" max="2" width="13" customWidth="1"/>
    <col min="3" max="3" width="24" customWidth="1"/>
    <col min="4" max="4" width="13" customWidth="1"/>
    <col min="5" max="5" width="11" customWidth="1"/>
    <col min="6" max="6" width="14" customWidth="1"/>
    <col min="7" max="7" width="12" customWidth="1"/>
    <col min="8" max="9" width="13" customWidth="1"/>
    <col min="10" max="10" width="14" customWidth="1"/>
    <col min="11" max="12" width="13" customWidth="1"/>
    <col min="13" max="13" width="15" customWidth="1"/>
    <col min="14" max="14" width="30" customWidth="1"/>
  </cols>
  <sheetData>
    <row r="1" spans="1:14" ht="30" customHeight="1" x14ac:dyDescent="0.35">
      <c r="A1" s="14" t="s">
        <v>380</v>
      </c>
      <c r="B1" s="14"/>
      <c r="C1" s="14"/>
      <c r="D1" s="14"/>
      <c r="E1" s="14"/>
      <c r="F1" s="14"/>
      <c r="G1" s="14"/>
      <c r="H1" s="14"/>
      <c r="I1" s="14"/>
      <c r="J1" s="14"/>
      <c r="K1" s="14"/>
      <c r="L1" s="14"/>
      <c r="M1" s="14"/>
      <c r="N1" s="14"/>
    </row>
    <row r="2" spans="1:14" ht="18" customHeight="1" x14ac:dyDescent="0.35">
      <c r="A2" s="13" t="s">
        <v>381</v>
      </c>
      <c r="B2" s="13"/>
      <c r="C2" s="13"/>
      <c r="D2" s="13"/>
      <c r="E2" s="13"/>
      <c r="F2" s="13"/>
      <c r="G2" s="13"/>
      <c r="H2" s="13"/>
      <c r="I2" s="13"/>
      <c r="J2" s="13"/>
      <c r="K2" s="13"/>
      <c r="L2" s="13"/>
      <c r="M2" s="13"/>
      <c r="N2" s="13"/>
    </row>
    <row r="5" spans="1:14" ht="30" customHeight="1" x14ac:dyDescent="0.35">
      <c r="A5" s="15" t="s">
        <v>200</v>
      </c>
      <c r="B5" s="15" t="s">
        <v>201</v>
      </c>
      <c r="C5" s="15" t="s">
        <v>202</v>
      </c>
      <c r="D5" s="15" t="s">
        <v>205</v>
      </c>
      <c r="E5" s="15" t="s">
        <v>206</v>
      </c>
      <c r="F5" s="15" t="s">
        <v>382</v>
      </c>
      <c r="G5" s="15" t="s">
        <v>383</v>
      </c>
      <c r="H5" s="15" t="s">
        <v>384</v>
      </c>
      <c r="I5" s="15" t="s">
        <v>385</v>
      </c>
      <c r="J5" s="15" t="s">
        <v>386</v>
      </c>
      <c r="K5" s="15" t="s">
        <v>387</v>
      </c>
      <c r="L5" s="15" t="s">
        <v>388</v>
      </c>
      <c r="M5" s="15" t="s">
        <v>389</v>
      </c>
      <c r="N5" s="15" t="s">
        <v>136</v>
      </c>
    </row>
    <row r="6" spans="1:14" ht="16.5" customHeight="1" x14ac:dyDescent="0.35">
      <c r="A6" s="18">
        <v>1</v>
      </c>
      <c r="B6" s="62" t="str">
        <f>IF(الموظفون!$B6="","",الموظفون!$B6)</f>
        <v>EMP-001</v>
      </c>
      <c r="C6" s="61" t="str">
        <f>IF($B6="","",الموظفون!$C6)</f>
        <v>أحمد محمد الشريف</v>
      </c>
      <c r="D6" s="52">
        <f>IF($B6="","",الموظفون!$F6)</f>
        <v>41699</v>
      </c>
      <c r="E6" s="46">
        <f>IF($B6="","",الموظفون!$G6)</f>
        <v>12.5</v>
      </c>
      <c r="F6" s="34">
        <f t="shared" ref="F6:F45" si="0">IF($B6="","",IF($E6&gt;=5,30,21))</f>
        <v>30</v>
      </c>
      <c r="G6" s="35">
        <v>0</v>
      </c>
      <c r="H6" s="46">
        <f t="shared" ref="H6:H45" si="1">IF($B6="","",$F6+IF($G6="",0,$G6))</f>
        <v>30</v>
      </c>
      <c r="I6" s="51">
        <f>IF($B6="","",الحضور!$AQ8)</f>
        <v>0</v>
      </c>
      <c r="J6" s="51">
        <f>IF($B6="","",الحضور!$AR8)</f>
        <v>0</v>
      </c>
      <c r="K6" s="36">
        <f t="shared" ref="K6:K45" si="2">IF($B6="","",$H6-$I6)</f>
        <v>30</v>
      </c>
      <c r="L6" s="51">
        <f>IF($B6="","",الحضور!$AS8+الحضور!$AT8+الحضور!$AU8)</f>
        <v>0</v>
      </c>
      <c r="M6" s="51">
        <f t="shared" ref="M6:M45" si="3">IF($B6="","",120-$L6)</f>
        <v>120</v>
      </c>
      <c r="N6" s="61" t="str">
        <f t="shared" ref="N6:N45" si="4">IF($B6="","",IF($K6&lt;0,"⚠ تجاوز الرصيد السنوي",IF($K6&lt;=2,"رصيد شبه مستنفد","—")))</f>
        <v>—</v>
      </c>
    </row>
    <row r="7" spans="1:14" ht="16.5" customHeight="1" x14ac:dyDescent="0.35">
      <c r="A7" s="18">
        <v>2</v>
      </c>
      <c r="B7" s="62" t="str">
        <f>IF(الموظفون!$B7="","",الموظفون!$B7)</f>
        <v>EMP-002</v>
      </c>
      <c r="C7" s="61" t="str">
        <f>IF($B7="","",الموظفون!$C7)</f>
        <v>عبدالله القحطاني</v>
      </c>
      <c r="D7" s="52">
        <f>IF($B7="","",الموظفون!$F7)</f>
        <v>42628</v>
      </c>
      <c r="E7" s="46">
        <f>IF($B7="","",الموظفون!$G7)</f>
        <v>10</v>
      </c>
      <c r="F7" s="34">
        <f t="shared" si="0"/>
        <v>30</v>
      </c>
      <c r="G7" s="35">
        <v>0</v>
      </c>
      <c r="H7" s="46">
        <f t="shared" si="1"/>
        <v>30</v>
      </c>
      <c r="I7" s="51">
        <f>IF($B7="","",الحضور!$AQ9)</f>
        <v>1</v>
      </c>
      <c r="J7" s="51">
        <f>IF($B7="","",الحضور!$AR9)</f>
        <v>0</v>
      </c>
      <c r="K7" s="36">
        <f t="shared" si="2"/>
        <v>29</v>
      </c>
      <c r="L7" s="51">
        <f>IF($B7="","",الحضور!$AS9+الحضور!$AT9+الحضور!$AU9)</f>
        <v>0</v>
      </c>
      <c r="M7" s="51">
        <f t="shared" si="3"/>
        <v>120</v>
      </c>
      <c r="N7" s="61" t="str">
        <f t="shared" si="4"/>
        <v>—</v>
      </c>
    </row>
    <row r="8" spans="1:14" ht="16.5" customHeight="1" x14ac:dyDescent="0.35">
      <c r="A8" s="18">
        <v>3</v>
      </c>
      <c r="B8" s="62" t="str">
        <f>IF(الموظفون!$B8="","",الموظفون!$B8)</f>
        <v>EMP-003</v>
      </c>
      <c r="C8" s="61" t="str">
        <f>IF($B8="","",الموظفون!$C8)</f>
        <v>محمود حسن السيد</v>
      </c>
      <c r="D8" s="52">
        <f>IF($B8="","",الموظفون!$F8)</f>
        <v>43485</v>
      </c>
      <c r="E8" s="46">
        <f>IF($B8="","",الموظفون!$G8)</f>
        <v>7.6</v>
      </c>
      <c r="F8" s="34">
        <f t="shared" si="0"/>
        <v>30</v>
      </c>
      <c r="G8" s="35">
        <v>0</v>
      </c>
      <c r="H8" s="46">
        <f t="shared" si="1"/>
        <v>30</v>
      </c>
      <c r="I8" s="51">
        <f>IF($B8="","",الحضور!$AQ10)</f>
        <v>0</v>
      </c>
      <c r="J8" s="51">
        <f>IF($B8="","",الحضور!$AR10)</f>
        <v>0</v>
      </c>
      <c r="K8" s="36">
        <f t="shared" si="2"/>
        <v>30</v>
      </c>
      <c r="L8" s="51">
        <f>IF($B8="","",الحضور!$AS10+الحضور!$AT10+الحضور!$AU10)</f>
        <v>0</v>
      </c>
      <c r="M8" s="51">
        <f t="shared" si="3"/>
        <v>120</v>
      </c>
      <c r="N8" s="61" t="str">
        <f t="shared" si="4"/>
        <v>—</v>
      </c>
    </row>
    <row r="9" spans="1:14" ht="16.5" customHeight="1" x14ac:dyDescent="0.35">
      <c r="A9" s="18">
        <v>4</v>
      </c>
      <c r="B9" s="62" t="str">
        <f>IF(الموظفون!$B9="","",الموظفون!$B9)</f>
        <v>EMP-004</v>
      </c>
      <c r="C9" s="61" t="str">
        <f>IF($B9="","",الموظفون!$C9)</f>
        <v>فيصل العتيبي</v>
      </c>
      <c r="D9" s="52">
        <f>IF($B9="","",الموظفون!$F9)</f>
        <v>41061</v>
      </c>
      <c r="E9" s="46">
        <f>IF($B9="","",الموظفون!$G9)</f>
        <v>14.2</v>
      </c>
      <c r="F9" s="34">
        <f t="shared" si="0"/>
        <v>30</v>
      </c>
      <c r="G9" s="35">
        <v>0</v>
      </c>
      <c r="H9" s="46">
        <f t="shared" si="1"/>
        <v>30</v>
      </c>
      <c r="I9" s="51">
        <f>IF($B9="","",الحضور!$AQ11)</f>
        <v>0</v>
      </c>
      <c r="J9" s="51">
        <f>IF($B9="","",الحضور!$AR11)</f>
        <v>0</v>
      </c>
      <c r="K9" s="36">
        <f t="shared" si="2"/>
        <v>30</v>
      </c>
      <c r="L9" s="51">
        <f>IF($B9="","",الحضور!$AS11+الحضور!$AT11+الحضور!$AU11)</f>
        <v>0</v>
      </c>
      <c r="M9" s="51">
        <f t="shared" si="3"/>
        <v>120</v>
      </c>
      <c r="N9" s="61" t="str">
        <f t="shared" si="4"/>
        <v>—</v>
      </c>
    </row>
    <row r="10" spans="1:14" ht="16.5" customHeight="1" x14ac:dyDescent="0.35">
      <c r="A10" s="18">
        <v>5</v>
      </c>
      <c r="B10" s="62" t="str">
        <f>IF(الموظفون!$B10="","",الموظفون!$B10)</f>
        <v>EMP-005</v>
      </c>
      <c r="C10" s="61" t="str">
        <f>IF($B10="","",الموظفون!$C10)</f>
        <v>يوسف إبراهيم فؤاد</v>
      </c>
      <c r="D10" s="52">
        <f>IF($B10="","",الموظفون!$F10)</f>
        <v>44237</v>
      </c>
      <c r="E10" s="46">
        <f>IF($B10="","",الموظفون!$G10)</f>
        <v>5.6</v>
      </c>
      <c r="F10" s="34">
        <f t="shared" si="0"/>
        <v>30</v>
      </c>
      <c r="G10" s="35">
        <v>0</v>
      </c>
      <c r="H10" s="46">
        <f t="shared" si="1"/>
        <v>30</v>
      </c>
      <c r="I10" s="51">
        <f>IF($B10="","",الحضور!$AQ12)</f>
        <v>0</v>
      </c>
      <c r="J10" s="51">
        <f>IF($B10="","",الحضور!$AR12)</f>
        <v>0</v>
      </c>
      <c r="K10" s="36">
        <f t="shared" si="2"/>
        <v>30</v>
      </c>
      <c r="L10" s="51">
        <f>IF($B10="","",الحضور!$AS12+الحضور!$AT12+الحضور!$AU12)</f>
        <v>0</v>
      </c>
      <c r="M10" s="51">
        <f t="shared" si="3"/>
        <v>120</v>
      </c>
      <c r="N10" s="61" t="str">
        <f t="shared" si="4"/>
        <v>—</v>
      </c>
    </row>
    <row r="11" spans="1:14" ht="16.5" customHeight="1" x14ac:dyDescent="0.35">
      <c r="A11" s="18">
        <v>6</v>
      </c>
      <c r="B11" s="62" t="str">
        <f>IF(الموظفون!$B11="","",الموظفون!$B11)</f>
        <v>EMP-006</v>
      </c>
      <c r="C11" s="61" t="str">
        <f>IF($B11="","",الموظفون!$C11)</f>
        <v>سلطان الحربي</v>
      </c>
      <c r="D11" s="52">
        <f>IF($B11="","",الموظفون!$F11)</f>
        <v>43409</v>
      </c>
      <c r="E11" s="46">
        <f>IF($B11="","",الموظفون!$G11)</f>
        <v>7.8</v>
      </c>
      <c r="F11" s="34">
        <f t="shared" si="0"/>
        <v>30</v>
      </c>
      <c r="G11" s="35">
        <v>0</v>
      </c>
      <c r="H11" s="46">
        <f t="shared" si="1"/>
        <v>30</v>
      </c>
      <c r="I11" s="51">
        <f>IF($B11="","",الحضور!$AQ13)</f>
        <v>0</v>
      </c>
      <c r="J11" s="51">
        <f>IF($B11="","",الحضور!$AR13)</f>
        <v>0</v>
      </c>
      <c r="K11" s="36">
        <f t="shared" si="2"/>
        <v>30</v>
      </c>
      <c r="L11" s="51">
        <f>IF($B11="","",الحضور!$AS13+الحضور!$AT13+الحضور!$AU13)</f>
        <v>0</v>
      </c>
      <c r="M11" s="51">
        <f t="shared" si="3"/>
        <v>120</v>
      </c>
      <c r="N11" s="61" t="str">
        <f t="shared" si="4"/>
        <v>—</v>
      </c>
    </row>
    <row r="12" spans="1:14" ht="16.5" customHeight="1" x14ac:dyDescent="0.35">
      <c r="A12" s="18">
        <v>7</v>
      </c>
      <c r="B12" s="62" t="str">
        <f>IF(الموظفون!$B12="","",الموظفون!$B12)</f>
        <v>EMP-007</v>
      </c>
      <c r="C12" s="61" t="str">
        <f>IF($B12="","",الموظفون!$C12)</f>
        <v>كريم سعيد الخولي</v>
      </c>
      <c r="D12" s="52">
        <f>IF($B12="","",الموظفون!$F12)</f>
        <v>45017</v>
      </c>
      <c r="E12" s="46">
        <f>IF($B12="","",الموظفون!$G12)</f>
        <v>3.4</v>
      </c>
      <c r="F12" s="34">
        <f t="shared" si="0"/>
        <v>21</v>
      </c>
      <c r="G12" s="35">
        <v>0</v>
      </c>
      <c r="H12" s="46">
        <f t="shared" si="1"/>
        <v>21</v>
      </c>
      <c r="I12" s="51">
        <f>IF($B12="","",الحضور!$AQ14)</f>
        <v>4</v>
      </c>
      <c r="J12" s="51">
        <f>IF($B12="","",الحضور!$AR14)</f>
        <v>0</v>
      </c>
      <c r="K12" s="36">
        <f t="shared" si="2"/>
        <v>17</v>
      </c>
      <c r="L12" s="51">
        <f>IF($B12="","",الحضور!$AS14+الحضور!$AT14+الحضور!$AU14)</f>
        <v>0</v>
      </c>
      <c r="M12" s="51">
        <f t="shared" si="3"/>
        <v>120</v>
      </c>
      <c r="N12" s="61" t="str">
        <f t="shared" si="4"/>
        <v>—</v>
      </c>
    </row>
    <row r="13" spans="1:14" ht="16.5" customHeight="1" x14ac:dyDescent="0.35">
      <c r="A13" s="18">
        <v>8</v>
      </c>
      <c r="B13" s="62" t="str">
        <f>IF(الموظفون!$B13="","",الموظفون!$B13)</f>
        <v>EMP-008</v>
      </c>
      <c r="C13" s="61" t="str">
        <f>IF($B13="","",الموظفون!$C13)</f>
        <v>بندر الغامدي</v>
      </c>
      <c r="D13" s="52">
        <f>IF($B13="","",الموظفون!$F13)</f>
        <v>42228</v>
      </c>
      <c r="E13" s="46">
        <f>IF($B13="","",الموظفون!$G13)</f>
        <v>11.1</v>
      </c>
      <c r="F13" s="34">
        <f t="shared" si="0"/>
        <v>30</v>
      </c>
      <c r="G13" s="35">
        <v>0</v>
      </c>
      <c r="H13" s="46">
        <f t="shared" si="1"/>
        <v>30</v>
      </c>
      <c r="I13" s="51">
        <f>IF($B13="","",الحضور!$AQ15)</f>
        <v>0</v>
      </c>
      <c r="J13" s="51">
        <f>IF($B13="","",الحضور!$AR15)</f>
        <v>0</v>
      </c>
      <c r="K13" s="36">
        <f t="shared" si="2"/>
        <v>30</v>
      </c>
      <c r="L13" s="51">
        <f>IF($B13="","",الحضور!$AS15+الحضور!$AT15+الحضور!$AU15)</f>
        <v>1</v>
      </c>
      <c r="M13" s="51">
        <f t="shared" si="3"/>
        <v>119</v>
      </c>
      <c r="N13" s="61" t="str">
        <f t="shared" si="4"/>
        <v>—</v>
      </c>
    </row>
    <row r="14" spans="1:14" ht="16.5" customHeight="1" x14ac:dyDescent="0.35">
      <c r="A14" s="18">
        <v>9</v>
      </c>
      <c r="B14" s="62" t="str">
        <f>IF(الموظفون!$B14="","",الموظفون!$B14)</f>
        <v>EMP-009</v>
      </c>
      <c r="C14" s="61" t="str">
        <f>IF($B14="","",الموظفون!$C14)</f>
        <v>عمر شعبان النجار</v>
      </c>
      <c r="D14" s="52">
        <f>IF($B14="","",الموظفون!$F14)</f>
        <v>42877</v>
      </c>
      <c r="E14" s="46">
        <f>IF($B14="","",الموظفون!$G14)</f>
        <v>9.3000000000000007</v>
      </c>
      <c r="F14" s="34">
        <f t="shared" si="0"/>
        <v>30</v>
      </c>
      <c r="G14" s="35">
        <v>0</v>
      </c>
      <c r="H14" s="46">
        <f t="shared" si="1"/>
        <v>30</v>
      </c>
      <c r="I14" s="51">
        <f>IF($B14="","",الحضور!$AQ16)</f>
        <v>0</v>
      </c>
      <c r="J14" s="51">
        <f>IF($B14="","",الحضور!$AR16)</f>
        <v>0</v>
      </c>
      <c r="K14" s="36">
        <f t="shared" si="2"/>
        <v>30</v>
      </c>
      <c r="L14" s="51">
        <f>IF($B14="","",الحضور!$AS16+الحضور!$AT16+الحضور!$AU16)</f>
        <v>0</v>
      </c>
      <c r="M14" s="51">
        <f t="shared" si="3"/>
        <v>120</v>
      </c>
      <c r="N14" s="61" t="str">
        <f t="shared" si="4"/>
        <v>—</v>
      </c>
    </row>
    <row r="15" spans="1:14" ht="16.5" customHeight="1" x14ac:dyDescent="0.35">
      <c r="A15" s="18">
        <v>10</v>
      </c>
      <c r="B15" s="62" t="str">
        <f>IF(الموظفون!$B15="","",الموظفون!$B15)</f>
        <v>EMP-010</v>
      </c>
      <c r="C15" s="61" t="str">
        <f>IF($B15="","",الموظفون!$C15)</f>
        <v>ماجد الدوسري</v>
      </c>
      <c r="D15" s="52">
        <f>IF($B15="","",الموظفون!$F15)</f>
        <v>41548</v>
      </c>
      <c r="E15" s="46">
        <f>IF($B15="","",الموظفون!$G15)</f>
        <v>12.9</v>
      </c>
      <c r="F15" s="34">
        <f t="shared" si="0"/>
        <v>30</v>
      </c>
      <c r="G15" s="35">
        <v>0</v>
      </c>
      <c r="H15" s="46">
        <f t="shared" si="1"/>
        <v>30</v>
      </c>
      <c r="I15" s="51">
        <f>IF($B15="","",الحضور!$AQ17)</f>
        <v>2</v>
      </c>
      <c r="J15" s="51">
        <f>IF($B15="","",الحضور!$AR17)</f>
        <v>0</v>
      </c>
      <c r="K15" s="36">
        <f t="shared" si="2"/>
        <v>28</v>
      </c>
      <c r="L15" s="51">
        <f>IF($B15="","",الحضور!$AS17+الحضور!$AT17+الحضور!$AU17)</f>
        <v>0</v>
      </c>
      <c r="M15" s="51">
        <f t="shared" si="3"/>
        <v>120</v>
      </c>
      <c r="N15" s="61" t="str">
        <f t="shared" si="4"/>
        <v>—</v>
      </c>
    </row>
    <row r="16" spans="1:14" ht="16.5" customHeight="1" x14ac:dyDescent="0.35">
      <c r="A16" s="18">
        <v>11</v>
      </c>
      <c r="B16" s="62" t="str">
        <f>IF(الموظفون!$B16="","",الموظفون!$B16)</f>
        <v>EMP-011</v>
      </c>
      <c r="C16" s="61" t="str">
        <f>IF($B16="","",الموظفون!$C16)</f>
        <v>هبة رمضان عبد الحميد</v>
      </c>
      <c r="D16" s="52">
        <f>IF($B16="","",الموظفون!$F16)</f>
        <v>44635</v>
      </c>
      <c r="E16" s="46">
        <f>IF($B16="","",الموظفون!$G16)</f>
        <v>4.5</v>
      </c>
      <c r="F16" s="34">
        <f t="shared" si="0"/>
        <v>21</v>
      </c>
      <c r="G16" s="35">
        <v>0</v>
      </c>
      <c r="H16" s="46">
        <f t="shared" si="1"/>
        <v>21</v>
      </c>
      <c r="I16" s="51">
        <f>IF($B16="","",الحضور!$AQ18)</f>
        <v>1</v>
      </c>
      <c r="J16" s="51">
        <f>IF($B16="","",الحضور!$AR18)</f>
        <v>0</v>
      </c>
      <c r="K16" s="36">
        <f t="shared" si="2"/>
        <v>20</v>
      </c>
      <c r="L16" s="51">
        <f>IF($B16="","",الحضور!$AS18+الحضور!$AT18+الحضور!$AU18)</f>
        <v>0</v>
      </c>
      <c r="M16" s="51">
        <f t="shared" si="3"/>
        <v>120</v>
      </c>
      <c r="N16" s="61" t="str">
        <f t="shared" si="4"/>
        <v>—</v>
      </c>
    </row>
    <row r="17" spans="1:14" ht="16.5" customHeight="1" x14ac:dyDescent="0.35">
      <c r="A17" s="18">
        <v>12</v>
      </c>
      <c r="B17" s="62" t="str">
        <f>IF(الموظفون!$B17="","",الموظفون!$B17)</f>
        <v>EMP-012</v>
      </c>
      <c r="C17" s="61" t="str">
        <f>IF($B17="","",الموظفون!$C17)</f>
        <v>نورة العمري</v>
      </c>
      <c r="D17" s="52">
        <f>IF($B17="","",الموظفون!$F17)</f>
        <v>44013</v>
      </c>
      <c r="E17" s="46">
        <f>IF($B17="","",الموظفون!$G17)</f>
        <v>6.2</v>
      </c>
      <c r="F17" s="34">
        <f t="shared" si="0"/>
        <v>30</v>
      </c>
      <c r="G17" s="35">
        <v>0</v>
      </c>
      <c r="H17" s="46">
        <f t="shared" si="1"/>
        <v>30</v>
      </c>
      <c r="I17" s="51">
        <f>IF($B17="","",الحضور!$AQ19)</f>
        <v>0</v>
      </c>
      <c r="J17" s="51">
        <f>IF($B17="","",الحضور!$AR19)</f>
        <v>0</v>
      </c>
      <c r="K17" s="36">
        <f t="shared" si="2"/>
        <v>30</v>
      </c>
      <c r="L17" s="51">
        <f>IF($B17="","",الحضور!$AS19+الحضور!$AT19+الحضور!$AU19)</f>
        <v>5</v>
      </c>
      <c r="M17" s="51">
        <f t="shared" si="3"/>
        <v>115</v>
      </c>
      <c r="N17" s="61" t="str">
        <f t="shared" si="4"/>
        <v>—</v>
      </c>
    </row>
    <row r="18" spans="1:14" ht="16.5" customHeight="1" x14ac:dyDescent="0.35">
      <c r="A18" s="18">
        <v>13</v>
      </c>
      <c r="B18" s="62" t="str">
        <f>IF(الموظفون!$B18="","",الموظفون!$B18)</f>
        <v>EMP-013</v>
      </c>
      <c r="C18" s="61" t="str">
        <f>IF($B18="","",الموظفون!$C18)</f>
        <v>داليا فؤاد الشناوي</v>
      </c>
      <c r="D18" s="52">
        <f>IF($B18="","",الموظفون!$F18)</f>
        <v>45536</v>
      </c>
      <c r="E18" s="46">
        <f>IF($B18="","",الموظفون!$G18)</f>
        <v>2</v>
      </c>
      <c r="F18" s="34">
        <f t="shared" si="0"/>
        <v>21</v>
      </c>
      <c r="G18" s="35">
        <v>0</v>
      </c>
      <c r="H18" s="46">
        <f t="shared" si="1"/>
        <v>21</v>
      </c>
      <c r="I18" s="51">
        <f>IF($B18="","",الحضور!$AQ20)</f>
        <v>0</v>
      </c>
      <c r="J18" s="51">
        <f>IF($B18="","",الحضور!$AR20)</f>
        <v>0</v>
      </c>
      <c r="K18" s="36">
        <f t="shared" si="2"/>
        <v>21</v>
      </c>
      <c r="L18" s="51">
        <f>IF($B18="","",الحضور!$AS20+الحضور!$AT20+الحضور!$AU20)</f>
        <v>0</v>
      </c>
      <c r="M18" s="51">
        <f t="shared" si="3"/>
        <v>120</v>
      </c>
      <c r="N18" s="61" t="str">
        <f t="shared" si="4"/>
        <v>—</v>
      </c>
    </row>
    <row r="19" spans="1:14" ht="16.5" customHeight="1" x14ac:dyDescent="0.35">
      <c r="A19" s="18">
        <v>14</v>
      </c>
      <c r="B19" s="62" t="str">
        <f>IF(الموظفون!$B19="","",الموظفون!$B19)</f>
        <v>EMP-014</v>
      </c>
      <c r="C19" s="61" t="str">
        <f>IF($B19="","",الموظفون!$C19)</f>
        <v>لطيفة الشهري</v>
      </c>
      <c r="D19" s="52">
        <f>IF($B19="","",الموظفون!$F19)</f>
        <v>43800</v>
      </c>
      <c r="E19" s="46">
        <f>IF($B19="","",الموظفون!$G19)</f>
        <v>6.7</v>
      </c>
      <c r="F19" s="34">
        <f t="shared" si="0"/>
        <v>30</v>
      </c>
      <c r="G19" s="35">
        <v>0</v>
      </c>
      <c r="H19" s="46">
        <f t="shared" si="1"/>
        <v>30</v>
      </c>
      <c r="I19" s="51">
        <f>IF($B19="","",الحضور!$AQ21)</f>
        <v>0</v>
      </c>
      <c r="J19" s="51">
        <f>IF($B19="","",الحضور!$AR21)</f>
        <v>0</v>
      </c>
      <c r="K19" s="36">
        <f t="shared" si="2"/>
        <v>30</v>
      </c>
      <c r="L19" s="51">
        <f>IF($B19="","",الحضور!$AS21+الحضور!$AT21+الحضور!$AU21)</f>
        <v>0</v>
      </c>
      <c r="M19" s="51">
        <f t="shared" si="3"/>
        <v>120</v>
      </c>
      <c r="N19" s="61" t="str">
        <f t="shared" si="4"/>
        <v>—</v>
      </c>
    </row>
    <row r="20" spans="1:14" ht="16.5" customHeight="1" x14ac:dyDescent="0.35">
      <c r="A20" s="18">
        <v>15</v>
      </c>
      <c r="B20" s="62" t="str">
        <f>IF(الموظفون!$B20="","",الموظفون!$B20)</f>
        <v>EMP-015</v>
      </c>
      <c r="C20" s="61" t="str">
        <f>IF($B20="","",الموظفون!$C20)</f>
        <v>سارة الشريف عبد الله</v>
      </c>
      <c r="D20" s="52">
        <f>IF($B20="","",الموظفون!$F20)</f>
        <v>45158</v>
      </c>
      <c r="E20" s="46">
        <f>IF($B20="","",الموظفون!$G20)</f>
        <v>3</v>
      </c>
      <c r="F20" s="34">
        <f t="shared" si="0"/>
        <v>21</v>
      </c>
      <c r="G20" s="35">
        <v>0</v>
      </c>
      <c r="H20" s="46">
        <f t="shared" si="1"/>
        <v>21</v>
      </c>
      <c r="I20" s="51">
        <f>IF($B20="","",الحضور!$AQ22)</f>
        <v>9</v>
      </c>
      <c r="J20" s="51">
        <f>IF($B20="","",الحضور!$AR22)</f>
        <v>0</v>
      </c>
      <c r="K20" s="36">
        <f t="shared" si="2"/>
        <v>12</v>
      </c>
      <c r="L20" s="51">
        <f>IF($B20="","",الحضور!$AS22+الحضور!$AT22+الحضور!$AU22)</f>
        <v>1</v>
      </c>
      <c r="M20" s="51">
        <f t="shared" si="3"/>
        <v>119</v>
      </c>
      <c r="N20" s="61" t="str">
        <f t="shared" si="4"/>
        <v>—</v>
      </c>
    </row>
    <row r="21" spans="1:14" ht="16.5" customHeight="1" x14ac:dyDescent="0.35">
      <c r="A21" s="18">
        <v>16</v>
      </c>
      <c r="B21" s="62" t="str">
        <f>IF(الموظفون!$B21="","",الموظفون!$B21)</f>
        <v>EMP-016</v>
      </c>
      <c r="C21" s="61" t="str">
        <f>IF($B21="","",الموظفون!$C21)</f>
        <v>ريم القحطاني</v>
      </c>
      <c r="D21" s="52">
        <f>IF($B21="","",الموظفون!$F21)</f>
        <v>45689</v>
      </c>
      <c r="E21" s="46">
        <f>IF($B21="","",الموظفون!$G21)</f>
        <v>1.6</v>
      </c>
      <c r="F21" s="34">
        <f t="shared" si="0"/>
        <v>21</v>
      </c>
      <c r="G21" s="35">
        <v>0</v>
      </c>
      <c r="H21" s="46">
        <f t="shared" si="1"/>
        <v>21</v>
      </c>
      <c r="I21" s="51">
        <f>IF($B21="","",الحضور!$AQ23)</f>
        <v>0</v>
      </c>
      <c r="J21" s="51">
        <f>IF($B21="","",الحضور!$AR23)</f>
        <v>0</v>
      </c>
      <c r="K21" s="36">
        <f t="shared" si="2"/>
        <v>21</v>
      </c>
      <c r="L21" s="51">
        <f>IF($B21="","",الحضور!$AS23+الحضور!$AT23+الحضور!$AU23)</f>
        <v>1</v>
      </c>
      <c r="M21" s="51">
        <f t="shared" si="3"/>
        <v>119</v>
      </c>
      <c r="N21" s="61" t="str">
        <f t="shared" si="4"/>
        <v>—</v>
      </c>
    </row>
    <row r="22" spans="1:14" ht="16.5" customHeight="1" x14ac:dyDescent="0.35">
      <c r="A22" s="18">
        <v>17</v>
      </c>
      <c r="B22" s="62" t="str">
        <f>IF(الموظفون!$B22="","",الموظفون!$B22)</f>
        <v>EMP-017</v>
      </c>
      <c r="C22" s="61" t="str">
        <f>IF($B22="","",الموظفون!$C22)</f>
        <v>منى الغزالي</v>
      </c>
      <c r="D22" s="52">
        <f>IF($B22="","",الموظفون!$F22)</f>
        <v>44510</v>
      </c>
      <c r="E22" s="46">
        <f>IF($B22="","",الموظفون!$G22)</f>
        <v>4.8</v>
      </c>
      <c r="F22" s="34">
        <f t="shared" si="0"/>
        <v>21</v>
      </c>
      <c r="G22" s="35">
        <v>0</v>
      </c>
      <c r="H22" s="46">
        <f t="shared" si="1"/>
        <v>21</v>
      </c>
      <c r="I22" s="51">
        <f>IF($B22="","",الحضور!$AQ24)</f>
        <v>3</v>
      </c>
      <c r="J22" s="51">
        <f>IF($B22="","",الحضور!$AR24)</f>
        <v>0</v>
      </c>
      <c r="K22" s="36">
        <f t="shared" si="2"/>
        <v>18</v>
      </c>
      <c r="L22" s="51">
        <f>IF($B22="","",الحضور!$AS24+الحضور!$AT24+الحضور!$AU24)</f>
        <v>0</v>
      </c>
      <c r="M22" s="51">
        <f t="shared" si="3"/>
        <v>120</v>
      </c>
      <c r="N22" s="61" t="str">
        <f t="shared" si="4"/>
        <v>—</v>
      </c>
    </row>
    <row r="23" spans="1:14" ht="16.5" customHeight="1" x14ac:dyDescent="0.35">
      <c r="A23" s="18">
        <v>18</v>
      </c>
      <c r="B23" s="62" t="str">
        <f>IF(الموظفون!$B23="","",الموظفون!$B23)</f>
        <v>EMP-018</v>
      </c>
      <c r="C23" s="61" t="str">
        <f>IF($B23="","",الموظفون!$C23)</f>
        <v>هيا الغانم</v>
      </c>
      <c r="D23" s="52">
        <f>IF($B23="","",الموظفون!$F23)</f>
        <v>43208</v>
      </c>
      <c r="E23" s="46">
        <f>IF($B23="","",الموظفون!$G23)</f>
        <v>8.4</v>
      </c>
      <c r="F23" s="34">
        <f t="shared" si="0"/>
        <v>30</v>
      </c>
      <c r="G23" s="35">
        <v>0</v>
      </c>
      <c r="H23" s="46">
        <f t="shared" si="1"/>
        <v>30</v>
      </c>
      <c r="I23" s="51">
        <f>IF($B23="","",الحضور!$AQ25)</f>
        <v>1</v>
      </c>
      <c r="J23" s="51">
        <f>IF($B23="","",الحضور!$AR25)</f>
        <v>0</v>
      </c>
      <c r="K23" s="36">
        <f t="shared" si="2"/>
        <v>29</v>
      </c>
      <c r="L23" s="51">
        <f>IF($B23="","",الحضور!$AS25+الحضور!$AT25+الحضور!$AU25)</f>
        <v>1</v>
      </c>
      <c r="M23" s="51">
        <f t="shared" si="3"/>
        <v>119</v>
      </c>
      <c r="N23" s="61" t="str">
        <f t="shared" si="4"/>
        <v>—</v>
      </c>
    </row>
    <row r="24" spans="1:14" ht="16.5" customHeight="1" x14ac:dyDescent="0.35">
      <c r="A24" s="18">
        <v>19</v>
      </c>
      <c r="B24" s="62" t="str">
        <f>IF(الموظفون!$B24="","",الموظفون!$B24)</f>
        <v>EMP-019</v>
      </c>
      <c r="C24" s="61" t="str">
        <f>IF($B24="","",الموظفون!$C24)</f>
        <v>رانيا الخولي</v>
      </c>
      <c r="D24" s="52">
        <f>IF($B24="","",الموظفون!$F24)</f>
        <v>42394</v>
      </c>
      <c r="E24" s="46">
        <f>IF($B24="","",الموظفون!$G24)</f>
        <v>10.6</v>
      </c>
      <c r="F24" s="34">
        <f t="shared" si="0"/>
        <v>30</v>
      </c>
      <c r="G24" s="35">
        <v>0</v>
      </c>
      <c r="H24" s="46">
        <f t="shared" si="1"/>
        <v>30</v>
      </c>
      <c r="I24" s="51">
        <f>IF($B24="","",الحضور!$AQ26)</f>
        <v>0</v>
      </c>
      <c r="J24" s="51">
        <f>IF($B24="","",الحضور!$AR26)</f>
        <v>0</v>
      </c>
      <c r="K24" s="36">
        <f t="shared" si="2"/>
        <v>30</v>
      </c>
      <c r="L24" s="51">
        <f>IF($B24="","",الحضور!$AS26+الحضور!$AT26+الحضور!$AU26)</f>
        <v>0</v>
      </c>
      <c r="M24" s="51">
        <f t="shared" si="3"/>
        <v>120</v>
      </c>
      <c r="N24" s="61" t="str">
        <f t="shared" si="4"/>
        <v>—</v>
      </c>
    </row>
    <row r="25" spans="1:14" ht="16.5" customHeight="1" x14ac:dyDescent="0.35">
      <c r="A25" s="18">
        <v>20</v>
      </c>
      <c r="B25" s="62" t="str">
        <f>IF(الموظفون!$B25="","",الموظفون!$B25)</f>
        <v>EMP-020</v>
      </c>
      <c r="C25" s="61" t="str">
        <f>IF($B25="","",الموظفون!$C25)</f>
        <v>أروى العسيري</v>
      </c>
      <c r="D25" s="52">
        <f>IF($B25="","",الموظفون!$F25)</f>
        <v>45417</v>
      </c>
      <c r="E25" s="46">
        <f>IF($B25="","",الموظفون!$G25)</f>
        <v>2.2999999999999998</v>
      </c>
      <c r="F25" s="34">
        <f t="shared" si="0"/>
        <v>21</v>
      </c>
      <c r="G25" s="35">
        <v>0</v>
      </c>
      <c r="H25" s="46">
        <f t="shared" si="1"/>
        <v>21</v>
      </c>
      <c r="I25" s="51">
        <f>IF($B25="","",الحضور!$AQ27)</f>
        <v>0</v>
      </c>
      <c r="J25" s="51">
        <f>IF($B25="","",الحضور!$AR27)</f>
        <v>0</v>
      </c>
      <c r="K25" s="36">
        <f t="shared" si="2"/>
        <v>21</v>
      </c>
      <c r="L25" s="51">
        <f>IF($B25="","",الحضور!$AS27+الحضور!$AT27+الحضور!$AU27)</f>
        <v>1</v>
      </c>
      <c r="M25" s="51">
        <f t="shared" si="3"/>
        <v>119</v>
      </c>
      <c r="N25" s="61" t="str">
        <f t="shared" si="4"/>
        <v>—</v>
      </c>
    </row>
    <row r="26" spans="1:14" ht="16.5" customHeight="1" x14ac:dyDescent="0.35">
      <c r="A26" s="18">
        <v>21</v>
      </c>
      <c r="B26" s="62" t="str">
        <f>IF(الموظفون!$B26="","",الموظفون!$B26)</f>
        <v>EMP-021</v>
      </c>
      <c r="C26" s="61" t="str">
        <f>IF($B26="","",الموظفون!$C26)</f>
        <v>مصطفى فهمي عبد الجواد</v>
      </c>
      <c r="D26" s="52">
        <f>IF($B26="","",الموظفون!$F26)</f>
        <v>43881</v>
      </c>
      <c r="E26" s="46">
        <f>IF($B26="","",الموظفون!$G26)</f>
        <v>6.5</v>
      </c>
      <c r="F26" s="34">
        <f t="shared" si="0"/>
        <v>30</v>
      </c>
      <c r="G26" s="35">
        <v>0</v>
      </c>
      <c r="H26" s="46">
        <f t="shared" si="1"/>
        <v>30</v>
      </c>
      <c r="I26" s="51">
        <f>IF($B26="","",الحضور!$AQ28)</f>
        <v>1</v>
      </c>
      <c r="J26" s="51">
        <f>IF($B26="","",الحضور!$AR28)</f>
        <v>0</v>
      </c>
      <c r="K26" s="36">
        <f t="shared" si="2"/>
        <v>29</v>
      </c>
      <c r="L26" s="51">
        <f>IF($B26="","",الحضور!$AS28+الحضور!$AT28+الحضور!$AU28)</f>
        <v>2</v>
      </c>
      <c r="M26" s="51">
        <f t="shared" si="3"/>
        <v>118</v>
      </c>
      <c r="N26" s="61" t="str">
        <f t="shared" si="4"/>
        <v>—</v>
      </c>
    </row>
    <row r="27" spans="1:14" ht="16.5" customHeight="1" x14ac:dyDescent="0.35">
      <c r="A27" s="18">
        <v>22</v>
      </c>
      <c r="B27" s="62" t="str">
        <f>IF(الموظفون!$B27="","",الموظفون!$B27)</f>
        <v>EMP-022</v>
      </c>
      <c r="C27" s="61" t="str">
        <f>IF($B27="","",الموظفون!$C27)</f>
        <v>تركي العنزي</v>
      </c>
      <c r="D27" s="52">
        <f>IF($B27="","",الموظفون!$F27)</f>
        <v>41827</v>
      </c>
      <c r="E27" s="46">
        <f>IF($B27="","",الموظفون!$G27)</f>
        <v>12.2</v>
      </c>
      <c r="F27" s="34">
        <f t="shared" si="0"/>
        <v>30</v>
      </c>
      <c r="G27" s="35">
        <v>0</v>
      </c>
      <c r="H27" s="46">
        <f t="shared" si="1"/>
        <v>30</v>
      </c>
      <c r="I27" s="51">
        <f>IF($B27="","",الحضور!$AQ29)</f>
        <v>0</v>
      </c>
      <c r="J27" s="51">
        <f>IF($B27="","",الحضور!$AR29)</f>
        <v>0</v>
      </c>
      <c r="K27" s="36">
        <f t="shared" si="2"/>
        <v>30</v>
      </c>
      <c r="L27" s="51">
        <f>IF($B27="","",الحضور!$AS29+الحضور!$AT29+الحضور!$AU29)</f>
        <v>0</v>
      </c>
      <c r="M27" s="51">
        <f t="shared" si="3"/>
        <v>120</v>
      </c>
      <c r="N27" s="61" t="str">
        <f t="shared" si="4"/>
        <v>—</v>
      </c>
    </row>
    <row r="28" spans="1:14" ht="16.5" customHeight="1" x14ac:dyDescent="0.35">
      <c r="A28" s="18">
        <v>23</v>
      </c>
      <c r="B28" s="62" t="str">
        <f>IF(الموظفون!$B28="","",الموظفون!$B28)</f>
        <v>EMP-023</v>
      </c>
      <c r="C28" s="61" t="str">
        <f>IF($B28="","",الموظفون!$C28)</f>
        <v>تامر النجار</v>
      </c>
      <c r="D28" s="52">
        <f>IF($B28="","",الموظفون!$F28)</f>
        <v>44835</v>
      </c>
      <c r="E28" s="46">
        <f>IF($B28="","",الموظفون!$G28)</f>
        <v>3.9</v>
      </c>
      <c r="F28" s="34">
        <f t="shared" si="0"/>
        <v>21</v>
      </c>
      <c r="G28" s="35">
        <v>0</v>
      </c>
      <c r="H28" s="46">
        <f t="shared" si="1"/>
        <v>21</v>
      </c>
      <c r="I28" s="51">
        <f>IF($B28="","",الحضور!$AQ30)</f>
        <v>0</v>
      </c>
      <c r="J28" s="51">
        <f>IF($B28="","",الحضور!$AR30)</f>
        <v>0</v>
      </c>
      <c r="K28" s="36">
        <f t="shared" si="2"/>
        <v>21</v>
      </c>
      <c r="L28" s="51">
        <f>IF($B28="","",الحضور!$AS30+الحضور!$AT30+الحضور!$AU30)</f>
        <v>0</v>
      </c>
      <c r="M28" s="51">
        <f t="shared" si="3"/>
        <v>120</v>
      </c>
      <c r="N28" s="61" t="str">
        <f t="shared" si="4"/>
        <v>—</v>
      </c>
    </row>
    <row r="29" spans="1:14" ht="16.5" customHeight="1" x14ac:dyDescent="0.35">
      <c r="A29" s="18">
        <v>24</v>
      </c>
      <c r="B29" s="62" t="str">
        <f>IF(الموظفون!$B29="","",الموظفون!$B29)</f>
        <v>EMP-024</v>
      </c>
      <c r="C29" s="61" t="str">
        <f>IF($B29="","",الموظفون!$C29)</f>
        <v>نايف السبيعي</v>
      </c>
      <c r="D29" s="52">
        <f>IF($B29="","",الموظفون!$F29)</f>
        <v>46037</v>
      </c>
      <c r="E29" s="46">
        <f>IF($B29="","",الموظفون!$G29)</f>
        <v>0.6</v>
      </c>
      <c r="F29" s="34">
        <f t="shared" si="0"/>
        <v>21</v>
      </c>
      <c r="G29" s="35">
        <v>0</v>
      </c>
      <c r="H29" s="46">
        <f t="shared" si="1"/>
        <v>21</v>
      </c>
      <c r="I29" s="51">
        <f>IF($B29="","",الحضور!$AQ31)</f>
        <v>1</v>
      </c>
      <c r="J29" s="51">
        <f>IF($B29="","",الحضور!$AR31)</f>
        <v>0</v>
      </c>
      <c r="K29" s="36">
        <f t="shared" si="2"/>
        <v>20</v>
      </c>
      <c r="L29" s="51">
        <f>IF($B29="","",الحضور!$AS31+الحضور!$AT31+الحضور!$AU31)</f>
        <v>0</v>
      </c>
      <c r="M29" s="51">
        <f t="shared" si="3"/>
        <v>120</v>
      </c>
      <c r="N29" s="61" t="str">
        <f t="shared" si="4"/>
        <v>—</v>
      </c>
    </row>
    <row r="30" spans="1:14" ht="16.5" customHeight="1" x14ac:dyDescent="0.35">
      <c r="A30" s="18">
        <v>25</v>
      </c>
      <c r="B30" s="62" t="str">
        <f>IF(الموظفون!$B30="","",الموظفون!$B30)</f>
        <v>EMP-025</v>
      </c>
      <c r="C30" s="61" t="str">
        <f>IF($B30="","",الموظفون!$C30)</f>
        <v>إيمان صابر رفعت</v>
      </c>
      <c r="D30" s="52">
        <f>IF($B30="","",الموظفون!$F30)</f>
        <v>42981</v>
      </c>
      <c r="E30" s="46">
        <f>IF($B30="","",الموظفون!$G30)</f>
        <v>9</v>
      </c>
      <c r="F30" s="34">
        <f t="shared" si="0"/>
        <v>30</v>
      </c>
      <c r="G30" s="35">
        <v>0</v>
      </c>
      <c r="H30" s="46">
        <f t="shared" si="1"/>
        <v>30</v>
      </c>
      <c r="I30" s="51">
        <f>IF($B30="","",الحضور!$AQ32)</f>
        <v>1</v>
      </c>
      <c r="J30" s="51">
        <f>IF($B30="","",الحضور!$AR32)</f>
        <v>0</v>
      </c>
      <c r="K30" s="36">
        <f t="shared" si="2"/>
        <v>29</v>
      </c>
      <c r="L30" s="51">
        <f>IF($B30="","",الحضور!$AS32+الحضور!$AT32+الحضور!$AU32)</f>
        <v>0</v>
      </c>
      <c r="M30" s="51">
        <f t="shared" si="3"/>
        <v>120</v>
      </c>
      <c r="N30" s="61" t="str">
        <f t="shared" si="4"/>
        <v>—</v>
      </c>
    </row>
    <row r="31" spans="1:14" ht="16.5" customHeight="1" x14ac:dyDescent="0.35">
      <c r="A31" s="18">
        <v>26</v>
      </c>
      <c r="B31" s="62" t="str">
        <f>IF(الموظفون!$B31="","",الموظفون!$B31)</f>
        <v>EMP-026</v>
      </c>
      <c r="C31" s="61" t="str">
        <f>IF($B31="","",الموظفون!$C31)</f>
        <v>منال المطيري</v>
      </c>
      <c r="D31" s="52">
        <f>IF($B31="","",الموظفون!$F31)</f>
        <v>40617</v>
      </c>
      <c r="E31" s="46">
        <f>IF($B31="","",الموظفون!$G31)</f>
        <v>15.5</v>
      </c>
      <c r="F31" s="34">
        <f t="shared" si="0"/>
        <v>30</v>
      </c>
      <c r="G31" s="35">
        <v>0</v>
      </c>
      <c r="H31" s="46">
        <f t="shared" si="1"/>
        <v>30</v>
      </c>
      <c r="I31" s="51">
        <f>IF($B31="","",الحضور!$AQ33)</f>
        <v>0</v>
      </c>
      <c r="J31" s="51">
        <f>IF($B31="","",الحضور!$AR33)</f>
        <v>0</v>
      </c>
      <c r="K31" s="36">
        <f t="shared" si="2"/>
        <v>30</v>
      </c>
      <c r="L31" s="51">
        <f>IF($B31="","",الحضور!$AS33+الحضور!$AT33+الحضور!$AU33)</f>
        <v>0</v>
      </c>
      <c r="M31" s="51">
        <f t="shared" si="3"/>
        <v>120</v>
      </c>
      <c r="N31" s="61" t="str">
        <f t="shared" si="4"/>
        <v>—</v>
      </c>
    </row>
    <row r="32" spans="1:14" ht="16.5" customHeight="1" x14ac:dyDescent="0.35">
      <c r="A32" s="18">
        <v>27</v>
      </c>
      <c r="B32" s="62" t="str">
        <f>IF(الموظفون!$B32="","",الموظفون!$B32)</f>
        <v>EMP-027</v>
      </c>
      <c r="C32" s="61" t="str">
        <f>IF($B32="","",الموظفون!$C32)</f>
        <v>أميرة زكي الحسيني</v>
      </c>
      <c r="D32" s="52">
        <f>IF($B32="","",الموظفون!$F32)</f>
        <v>44934</v>
      </c>
      <c r="E32" s="46">
        <f>IF($B32="","",الموظفون!$G32)</f>
        <v>3.6</v>
      </c>
      <c r="F32" s="34">
        <f t="shared" si="0"/>
        <v>21</v>
      </c>
      <c r="G32" s="35">
        <v>0</v>
      </c>
      <c r="H32" s="46">
        <f t="shared" si="1"/>
        <v>21</v>
      </c>
      <c r="I32" s="51">
        <f>IF($B32="","",الحضور!$AQ34)</f>
        <v>1</v>
      </c>
      <c r="J32" s="51">
        <f>IF($B32="","",الحضور!$AR34)</f>
        <v>0</v>
      </c>
      <c r="K32" s="36">
        <f t="shared" si="2"/>
        <v>20</v>
      </c>
      <c r="L32" s="51">
        <f>IF($B32="","",الحضور!$AS34+الحضور!$AT34+الحضور!$AU34)</f>
        <v>0</v>
      </c>
      <c r="M32" s="51">
        <f t="shared" si="3"/>
        <v>120</v>
      </c>
      <c r="N32" s="61" t="str">
        <f t="shared" si="4"/>
        <v>—</v>
      </c>
    </row>
    <row r="33" spans="1:14" ht="16.5" customHeight="1" x14ac:dyDescent="0.35">
      <c r="A33" s="18">
        <v>28</v>
      </c>
      <c r="B33" s="62" t="str">
        <f>IF(الموظفون!$B33="","",الموظفون!$B33)</f>
        <v>EMP-028</v>
      </c>
      <c r="C33" s="61" t="str">
        <f>IF($B33="","",الموظفون!$C33)</f>
        <v>دلال البلوي</v>
      </c>
      <c r="D33" s="52">
        <f>IF($B33="","",الموظفون!$F33)</f>
        <v>44359</v>
      </c>
      <c r="E33" s="46">
        <f>IF($B33="","",الموظفون!$G33)</f>
        <v>5.2</v>
      </c>
      <c r="F33" s="34">
        <f t="shared" si="0"/>
        <v>30</v>
      </c>
      <c r="G33" s="35">
        <v>0</v>
      </c>
      <c r="H33" s="46">
        <f t="shared" si="1"/>
        <v>30</v>
      </c>
      <c r="I33" s="51">
        <f>IF($B33="","",الحضور!$AQ35)</f>
        <v>1</v>
      </c>
      <c r="J33" s="51">
        <f>IF($B33="","",الحضور!$AR35)</f>
        <v>0</v>
      </c>
      <c r="K33" s="36">
        <f t="shared" si="2"/>
        <v>29</v>
      </c>
      <c r="L33" s="51">
        <f>IF($B33="","",الحضور!$AS35+الحضور!$AT35+الحضور!$AU35)</f>
        <v>1</v>
      </c>
      <c r="M33" s="51">
        <f t="shared" si="3"/>
        <v>119</v>
      </c>
      <c r="N33" s="61" t="str">
        <f t="shared" si="4"/>
        <v>—</v>
      </c>
    </row>
    <row r="34" spans="1:14" ht="16.5" customHeight="1" x14ac:dyDescent="0.35">
      <c r="A34" s="18">
        <v>29</v>
      </c>
      <c r="B34" s="62" t="str">
        <f>IF(الموظفون!$B34="","",الموظفون!$B34)</f>
        <v>EMP-029</v>
      </c>
      <c r="C34" s="61" t="str">
        <f>IF($B34="","",الموظفون!$C34)</f>
        <v>نادية عبد الحميد</v>
      </c>
      <c r="D34" s="52">
        <f>IF($B34="","",الموظفون!$F34)</f>
        <v>43583</v>
      </c>
      <c r="E34" s="46">
        <f>IF($B34="","",الموظفون!$G34)</f>
        <v>7.3</v>
      </c>
      <c r="F34" s="34">
        <f t="shared" si="0"/>
        <v>30</v>
      </c>
      <c r="G34" s="35">
        <v>0</v>
      </c>
      <c r="H34" s="46">
        <f t="shared" si="1"/>
        <v>30</v>
      </c>
      <c r="I34" s="51">
        <f>IF($B34="","",الحضور!$AQ36)</f>
        <v>1</v>
      </c>
      <c r="J34" s="51">
        <f>IF($B34="","",الحضور!$AR36)</f>
        <v>0</v>
      </c>
      <c r="K34" s="36">
        <f t="shared" si="2"/>
        <v>29</v>
      </c>
      <c r="L34" s="51">
        <f>IF($B34="","",الحضور!$AS36+الحضور!$AT36+الحضور!$AU36)</f>
        <v>0</v>
      </c>
      <c r="M34" s="51">
        <f t="shared" si="3"/>
        <v>120</v>
      </c>
      <c r="N34" s="61" t="str">
        <f t="shared" si="4"/>
        <v>—</v>
      </c>
    </row>
    <row r="35" spans="1:14" ht="16.5" customHeight="1" x14ac:dyDescent="0.35">
      <c r="A35" s="18">
        <v>30</v>
      </c>
      <c r="B35" s="62" t="str">
        <f>IF(الموظفون!$B35="","",الموظفون!$B35)</f>
        <v>EMP-030</v>
      </c>
      <c r="C35" s="61" t="str">
        <f>IF($B35="","",الموظفون!$C35)</f>
        <v>مي الفهد</v>
      </c>
      <c r="D35" s="52">
        <f>IF($B35="","",الموظفون!$F35)</f>
        <v>46113</v>
      </c>
      <c r="E35" s="46">
        <f>IF($B35="","",الموظفون!$G35)</f>
        <v>0.4</v>
      </c>
      <c r="F35" s="34">
        <f t="shared" si="0"/>
        <v>21</v>
      </c>
      <c r="G35" s="35">
        <v>0</v>
      </c>
      <c r="H35" s="46">
        <f t="shared" si="1"/>
        <v>21</v>
      </c>
      <c r="I35" s="51">
        <f>IF($B35="","",الحضور!$AQ37)</f>
        <v>1</v>
      </c>
      <c r="J35" s="51">
        <f>IF($B35="","",الحضور!$AR37)</f>
        <v>0</v>
      </c>
      <c r="K35" s="36">
        <f t="shared" si="2"/>
        <v>20</v>
      </c>
      <c r="L35" s="51">
        <f>IF($B35="","",الحضور!$AS37+الحضور!$AT37+الحضور!$AU37)</f>
        <v>0</v>
      </c>
      <c r="M35" s="51">
        <f t="shared" si="3"/>
        <v>120</v>
      </c>
      <c r="N35" s="61" t="str">
        <f t="shared" si="4"/>
        <v>—</v>
      </c>
    </row>
    <row r="36" spans="1:14" ht="16.5" customHeight="1" x14ac:dyDescent="0.35">
      <c r="A36" s="18"/>
      <c r="B36" s="62" t="str">
        <f>IF(الموظفون!$B36="","",الموظفون!$B36)</f>
        <v/>
      </c>
      <c r="C36" s="61" t="str">
        <f>IF($B36="","",الموظفون!$C36)</f>
        <v/>
      </c>
      <c r="D36" s="52" t="str">
        <f>IF($B36="","",الموظفون!$F36)</f>
        <v/>
      </c>
      <c r="E36" s="46" t="str">
        <f>IF($B36="","",الموظفون!$G36)</f>
        <v/>
      </c>
      <c r="F36" s="34" t="str">
        <f t="shared" si="0"/>
        <v/>
      </c>
      <c r="G36" s="35"/>
      <c r="H36" s="46" t="str">
        <f t="shared" si="1"/>
        <v/>
      </c>
      <c r="I36" s="51" t="str">
        <f>IF($B36="","",الحضور!$AQ38)</f>
        <v/>
      </c>
      <c r="J36" s="51" t="str">
        <f>IF($B36="","",الحضور!$AR38)</f>
        <v/>
      </c>
      <c r="K36" s="36" t="str">
        <f t="shared" si="2"/>
        <v/>
      </c>
      <c r="L36" s="51" t="str">
        <f>IF($B36="","",الحضور!$AS38+الحضور!$AT38+الحضور!$AU38)</f>
        <v/>
      </c>
      <c r="M36" s="51" t="str">
        <f t="shared" si="3"/>
        <v/>
      </c>
      <c r="N36" s="61" t="str">
        <f t="shared" si="4"/>
        <v/>
      </c>
    </row>
    <row r="37" spans="1:14" ht="16.5" customHeight="1" x14ac:dyDescent="0.35">
      <c r="A37" s="18"/>
      <c r="B37" s="62" t="str">
        <f>IF(الموظفون!$B37="","",الموظفون!$B37)</f>
        <v/>
      </c>
      <c r="C37" s="61" t="str">
        <f>IF($B37="","",الموظفون!$C37)</f>
        <v/>
      </c>
      <c r="D37" s="52" t="str">
        <f>IF($B37="","",الموظفون!$F37)</f>
        <v/>
      </c>
      <c r="E37" s="46" t="str">
        <f>IF($B37="","",الموظفون!$G37)</f>
        <v/>
      </c>
      <c r="F37" s="34" t="str">
        <f t="shared" si="0"/>
        <v/>
      </c>
      <c r="G37" s="35"/>
      <c r="H37" s="46" t="str">
        <f t="shared" si="1"/>
        <v/>
      </c>
      <c r="I37" s="51" t="str">
        <f>IF($B37="","",الحضور!$AQ39)</f>
        <v/>
      </c>
      <c r="J37" s="51" t="str">
        <f>IF($B37="","",الحضور!$AR39)</f>
        <v/>
      </c>
      <c r="K37" s="36" t="str">
        <f t="shared" si="2"/>
        <v/>
      </c>
      <c r="L37" s="51" t="str">
        <f>IF($B37="","",الحضور!$AS39+الحضور!$AT39+الحضور!$AU39)</f>
        <v/>
      </c>
      <c r="M37" s="51" t="str">
        <f t="shared" si="3"/>
        <v/>
      </c>
      <c r="N37" s="61" t="str">
        <f t="shared" si="4"/>
        <v/>
      </c>
    </row>
    <row r="38" spans="1:14" ht="16.5" customHeight="1" x14ac:dyDescent="0.35">
      <c r="A38" s="18"/>
      <c r="B38" s="62" t="str">
        <f>IF(الموظفون!$B38="","",الموظفون!$B38)</f>
        <v/>
      </c>
      <c r="C38" s="61" t="str">
        <f>IF($B38="","",الموظفون!$C38)</f>
        <v/>
      </c>
      <c r="D38" s="52" t="str">
        <f>IF($B38="","",الموظفون!$F38)</f>
        <v/>
      </c>
      <c r="E38" s="46" t="str">
        <f>IF($B38="","",الموظفون!$G38)</f>
        <v/>
      </c>
      <c r="F38" s="34" t="str">
        <f t="shared" si="0"/>
        <v/>
      </c>
      <c r="G38" s="35"/>
      <c r="H38" s="46" t="str">
        <f t="shared" si="1"/>
        <v/>
      </c>
      <c r="I38" s="51" t="str">
        <f>IF($B38="","",الحضور!$AQ40)</f>
        <v/>
      </c>
      <c r="J38" s="51" t="str">
        <f>IF($B38="","",الحضور!$AR40)</f>
        <v/>
      </c>
      <c r="K38" s="36" t="str">
        <f t="shared" si="2"/>
        <v/>
      </c>
      <c r="L38" s="51" t="str">
        <f>IF($B38="","",الحضور!$AS40+الحضور!$AT40+الحضور!$AU40)</f>
        <v/>
      </c>
      <c r="M38" s="51" t="str">
        <f t="shared" si="3"/>
        <v/>
      </c>
      <c r="N38" s="61" t="str">
        <f t="shared" si="4"/>
        <v/>
      </c>
    </row>
    <row r="39" spans="1:14" ht="16.5" customHeight="1" x14ac:dyDescent="0.35">
      <c r="A39" s="18"/>
      <c r="B39" s="62" t="str">
        <f>IF(الموظفون!$B39="","",الموظفون!$B39)</f>
        <v/>
      </c>
      <c r="C39" s="61" t="str">
        <f>IF($B39="","",الموظفون!$C39)</f>
        <v/>
      </c>
      <c r="D39" s="52" t="str">
        <f>IF($B39="","",الموظفون!$F39)</f>
        <v/>
      </c>
      <c r="E39" s="46" t="str">
        <f>IF($B39="","",الموظفون!$G39)</f>
        <v/>
      </c>
      <c r="F39" s="34" t="str">
        <f t="shared" si="0"/>
        <v/>
      </c>
      <c r="G39" s="35"/>
      <c r="H39" s="46" t="str">
        <f t="shared" si="1"/>
        <v/>
      </c>
      <c r="I39" s="51" t="str">
        <f>IF($B39="","",الحضور!$AQ41)</f>
        <v/>
      </c>
      <c r="J39" s="51" t="str">
        <f>IF($B39="","",الحضور!$AR41)</f>
        <v/>
      </c>
      <c r="K39" s="36" t="str">
        <f t="shared" si="2"/>
        <v/>
      </c>
      <c r="L39" s="51" t="str">
        <f>IF($B39="","",الحضور!$AS41+الحضور!$AT41+الحضور!$AU41)</f>
        <v/>
      </c>
      <c r="M39" s="51" t="str">
        <f t="shared" si="3"/>
        <v/>
      </c>
      <c r="N39" s="61" t="str">
        <f t="shared" si="4"/>
        <v/>
      </c>
    </row>
    <row r="40" spans="1:14" ht="16.5" customHeight="1" x14ac:dyDescent="0.35">
      <c r="A40" s="18"/>
      <c r="B40" s="62" t="str">
        <f>IF(الموظفون!$B40="","",الموظفون!$B40)</f>
        <v/>
      </c>
      <c r="C40" s="61" t="str">
        <f>IF($B40="","",الموظفون!$C40)</f>
        <v/>
      </c>
      <c r="D40" s="52" t="str">
        <f>IF($B40="","",الموظفون!$F40)</f>
        <v/>
      </c>
      <c r="E40" s="46" t="str">
        <f>IF($B40="","",الموظفون!$G40)</f>
        <v/>
      </c>
      <c r="F40" s="34" t="str">
        <f t="shared" si="0"/>
        <v/>
      </c>
      <c r="G40" s="35"/>
      <c r="H40" s="46" t="str">
        <f t="shared" si="1"/>
        <v/>
      </c>
      <c r="I40" s="51" t="str">
        <f>IF($B40="","",الحضور!$AQ42)</f>
        <v/>
      </c>
      <c r="J40" s="51" t="str">
        <f>IF($B40="","",الحضور!$AR42)</f>
        <v/>
      </c>
      <c r="K40" s="36" t="str">
        <f t="shared" si="2"/>
        <v/>
      </c>
      <c r="L40" s="51" t="str">
        <f>IF($B40="","",الحضور!$AS42+الحضور!$AT42+الحضور!$AU42)</f>
        <v/>
      </c>
      <c r="M40" s="51" t="str">
        <f t="shared" si="3"/>
        <v/>
      </c>
      <c r="N40" s="61" t="str">
        <f t="shared" si="4"/>
        <v/>
      </c>
    </row>
    <row r="41" spans="1:14" ht="16.5" customHeight="1" x14ac:dyDescent="0.35">
      <c r="A41" s="18"/>
      <c r="B41" s="62" t="str">
        <f>IF(الموظفون!$B41="","",الموظفون!$B41)</f>
        <v/>
      </c>
      <c r="C41" s="61" t="str">
        <f>IF($B41="","",الموظفون!$C41)</f>
        <v/>
      </c>
      <c r="D41" s="52" t="str">
        <f>IF($B41="","",الموظفون!$F41)</f>
        <v/>
      </c>
      <c r="E41" s="46" t="str">
        <f>IF($B41="","",الموظفون!$G41)</f>
        <v/>
      </c>
      <c r="F41" s="34" t="str">
        <f t="shared" si="0"/>
        <v/>
      </c>
      <c r="G41" s="35"/>
      <c r="H41" s="46" t="str">
        <f t="shared" si="1"/>
        <v/>
      </c>
      <c r="I41" s="51" t="str">
        <f>IF($B41="","",الحضور!$AQ43)</f>
        <v/>
      </c>
      <c r="J41" s="51" t="str">
        <f>IF($B41="","",الحضور!$AR43)</f>
        <v/>
      </c>
      <c r="K41" s="36" t="str">
        <f t="shared" si="2"/>
        <v/>
      </c>
      <c r="L41" s="51" t="str">
        <f>IF($B41="","",الحضور!$AS43+الحضور!$AT43+الحضور!$AU43)</f>
        <v/>
      </c>
      <c r="M41" s="51" t="str">
        <f t="shared" si="3"/>
        <v/>
      </c>
      <c r="N41" s="61" t="str">
        <f t="shared" si="4"/>
        <v/>
      </c>
    </row>
    <row r="42" spans="1:14" ht="16.5" customHeight="1" x14ac:dyDescent="0.35">
      <c r="A42" s="18"/>
      <c r="B42" s="62" t="str">
        <f>IF(الموظفون!$B42="","",الموظفون!$B42)</f>
        <v/>
      </c>
      <c r="C42" s="61" t="str">
        <f>IF($B42="","",الموظفون!$C42)</f>
        <v/>
      </c>
      <c r="D42" s="52" t="str">
        <f>IF($B42="","",الموظفون!$F42)</f>
        <v/>
      </c>
      <c r="E42" s="46" t="str">
        <f>IF($B42="","",الموظفون!$G42)</f>
        <v/>
      </c>
      <c r="F42" s="34" t="str">
        <f t="shared" si="0"/>
        <v/>
      </c>
      <c r="G42" s="35"/>
      <c r="H42" s="46" t="str">
        <f t="shared" si="1"/>
        <v/>
      </c>
      <c r="I42" s="51" t="str">
        <f>IF($B42="","",الحضور!$AQ44)</f>
        <v/>
      </c>
      <c r="J42" s="51" t="str">
        <f>IF($B42="","",الحضور!$AR44)</f>
        <v/>
      </c>
      <c r="K42" s="36" t="str">
        <f t="shared" si="2"/>
        <v/>
      </c>
      <c r="L42" s="51" t="str">
        <f>IF($B42="","",الحضور!$AS44+الحضور!$AT44+الحضور!$AU44)</f>
        <v/>
      </c>
      <c r="M42" s="51" t="str">
        <f t="shared" si="3"/>
        <v/>
      </c>
      <c r="N42" s="61" t="str">
        <f t="shared" si="4"/>
        <v/>
      </c>
    </row>
    <row r="43" spans="1:14" ht="16.5" customHeight="1" x14ac:dyDescent="0.35">
      <c r="A43" s="18"/>
      <c r="B43" s="62" t="str">
        <f>IF(الموظفون!$B43="","",الموظفون!$B43)</f>
        <v/>
      </c>
      <c r="C43" s="61" t="str">
        <f>IF($B43="","",الموظفون!$C43)</f>
        <v/>
      </c>
      <c r="D43" s="52" t="str">
        <f>IF($B43="","",الموظفون!$F43)</f>
        <v/>
      </c>
      <c r="E43" s="46" t="str">
        <f>IF($B43="","",الموظفون!$G43)</f>
        <v/>
      </c>
      <c r="F43" s="34" t="str">
        <f t="shared" si="0"/>
        <v/>
      </c>
      <c r="G43" s="35"/>
      <c r="H43" s="46" t="str">
        <f t="shared" si="1"/>
        <v/>
      </c>
      <c r="I43" s="51" t="str">
        <f>IF($B43="","",الحضور!$AQ45)</f>
        <v/>
      </c>
      <c r="J43" s="51" t="str">
        <f>IF($B43="","",الحضور!$AR45)</f>
        <v/>
      </c>
      <c r="K43" s="36" t="str">
        <f t="shared" si="2"/>
        <v/>
      </c>
      <c r="L43" s="51" t="str">
        <f>IF($B43="","",الحضور!$AS45+الحضور!$AT45+الحضور!$AU45)</f>
        <v/>
      </c>
      <c r="M43" s="51" t="str">
        <f t="shared" si="3"/>
        <v/>
      </c>
      <c r="N43" s="61" t="str">
        <f t="shared" si="4"/>
        <v/>
      </c>
    </row>
    <row r="44" spans="1:14" ht="16.5" customHeight="1" x14ac:dyDescent="0.35">
      <c r="A44" s="18"/>
      <c r="B44" s="62" t="str">
        <f>IF(الموظفون!$B44="","",الموظفون!$B44)</f>
        <v/>
      </c>
      <c r="C44" s="61" t="str">
        <f>IF($B44="","",الموظفون!$C44)</f>
        <v/>
      </c>
      <c r="D44" s="52" t="str">
        <f>IF($B44="","",الموظفون!$F44)</f>
        <v/>
      </c>
      <c r="E44" s="46" t="str">
        <f>IF($B44="","",الموظفون!$G44)</f>
        <v/>
      </c>
      <c r="F44" s="34" t="str">
        <f t="shared" si="0"/>
        <v/>
      </c>
      <c r="G44" s="35"/>
      <c r="H44" s="46" t="str">
        <f t="shared" si="1"/>
        <v/>
      </c>
      <c r="I44" s="51" t="str">
        <f>IF($B44="","",الحضور!$AQ46)</f>
        <v/>
      </c>
      <c r="J44" s="51" t="str">
        <f>IF($B44="","",الحضور!$AR46)</f>
        <v/>
      </c>
      <c r="K44" s="36" t="str">
        <f t="shared" si="2"/>
        <v/>
      </c>
      <c r="L44" s="51" t="str">
        <f>IF($B44="","",الحضور!$AS46+الحضور!$AT46+الحضور!$AU46)</f>
        <v/>
      </c>
      <c r="M44" s="51" t="str">
        <f t="shared" si="3"/>
        <v/>
      </c>
      <c r="N44" s="61" t="str">
        <f t="shared" si="4"/>
        <v/>
      </c>
    </row>
    <row r="45" spans="1:14" ht="16.5" customHeight="1" x14ac:dyDescent="0.35">
      <c r="A45" s="18"/>
      <c r="B45" s="62" t="str">
        <f>IF(الموظفون!$B45="","",الموظفون!$B45)</f>
        <v/>
      </c>
      <c r="C45" s="61" t="str">
        <f>IF($B45="","",الموظفون!$C45)</f>
        <v/>
      </c>
      <c r="D45" s="52" t="str">
        <f>IF($B45="","",الموظفون!$F45)</f>
        <v/>
      </c>
      <c r="E45" s="46" t="str">
        <f>IF($B45="","",الموظفون!$G45)</f>
        <v/>
      </c>
      <c r="F45" s="34" t="str">
        <f t="shared" si="0"/>
        <v/>
      </c>
      <c r="G45" s="35"/>
      <c r="H45" s="46" t="str">
        <f t="shared" si="1"/>
        <v/>
      </c>
      <c r="I45" s="51" t="str">
        <f>IF($B45="","",الحضور!$AQ47)</f>
        <v/>
      </c>
      <c r="J45" s="51" t="str">
        <f>IF($B45="","",الحضور!$AR47)</f>
        <v/>
      </c>
      <c r="K45" s="36" t="str">
        <f t="shared" si="2"/>
        <v/>
      </c>
      <c r="L45" s="51" t="str">
        <f>IF($B45="","",الحضور!$AS47+الحضور!$AT47+الحضور!$AU47)</f>
        <v/>
      </c>
      <c r="M45" s="51" t="str">
        <f t="shared" si="3"/>
        <v/>
      </c>
      <c r="N45" s="61" t="str">
        <f t="shared" si="4"/>
        <v/>
      </c>
    </row>
    <row r="47" spans="1:14" ht="25.5" customHeight="1" x14ac:dyDescent="0.35">
      <c r="A47" s="9" t="s">
        <v>390</v>
      </c>
      <c r="B47" s="9"/>
      <c r="C47" s="9"/>
      <c r="D47" s="9"/>
      <c r="E47" s="9"/>
      <c r="F47" s="9"/>
      <c r="G47" s="9"/>
      <c r="H47" s="9"/>
      <c r="I47" s="9"/>
      <c r="J47" s="9"/>
      <c r="K47" s="9"/>
      <c r="L47" s="9"/>
      <c r="M47" s="9"/>
      <c r="N47" s="9"/>
    </row>
    <row r="48" spans="1:14" ht="25.5" customHeight="1" x14ac:dyDescent="0.35">
      <c r="A48" s="9" t="s">
        <v>391</v>
      </c>
      <c r="B48" s="9"/>
      <c r="C48" s="9"/>
      <c r="D48" s="9"/>
      <c r="E48" s="9"/>
      <c r="F48" s="9"/>
      <c r="G48" s="9"/>
      <c r="H48" s="9"/>
      <c r="I48" s="9"/>
      <c r="J48" s="9"/>
      <c r="K48" s="9"/>
      <c r="L48" s="9"/>
      <c r="M48" s="9"/>
      <c r="N48" s="9"/>
    </row>
    <row r="49" spans="1:14" ht="25.5" customHeight="1" x14ac:dyDescent="0.35">
      <c r="A49" s="8" t="s">
        <v>392</v>
      </c>
      <c r="B49" s="8"/>
      <c r="C49" s="8"/>
      <c r="D49" s="8"/>
      <c r="E49" s="8"/>
      <c r="F49" s="8"/>
      <c r="G49" s="8"/>
      <c r="H49" s="8"/>
      <c r="I49" s="8"/>
      <c r="J49" s="8"/>
      <c r="K49" s="8"/>
      <c r="L49" s="8"/>
      <c r="M49" s="8"/>
      <c r="N49" s="8"/>
    </row>
  </sheetData>
  <sheetProtection sheet="1" formatCells="0" formatColumns="0" formatRows="0" sort="0" autoFilter="0"/>
  <mergeCells count="5">
    <mergeCell ref="A1:N1"/>
    <mergeCell ref="A2:N2"/>
    <mergeCell ref="A47:N47"/>
    <mergeCell ref="A48:N48"/>
    <mergeCell ref="A49:N49"/>
  </mergeCells>
  <conditionalFormatting sqref="K6:K45">
    <cfRule type="cellIs" dxfId="6" priority="2" operator="lessThan">
      <formula>0</formula>
    </cfRule>
    <cfRule type="dataBar" priority="3">
      <dataBar>
        <cfvo type="num" val="0"/>
        <cfvo type="max"/>
        <color rgb="FF2EA67A"/>
      </dataBar>
      <extLst>
        <ext xmlns:x14="http://schemas.microsoft.com/office/spreadsheetml/2009/9/main" uri="{B025F937-C7B1-47D3-B67F-A62EFF666E3E}">
          <x14:id>{955F3ABA-6380-491A-A4DE-8DE237B5A39A}</x14:id>
        </ext>
      </extLst>
    </cfRule>
  </conditionalFormatting>
  <printOptions horizontalCentered="1"/>
  <pageMargins left="0.75" right="0.75" top="1" bottom="1" header="0.5" footer="0.5"/>
  <pageSetup fitToHeight="0" orientation="landscape" horizontalDpi="300" verticalDpi="300"/>
  <headerFooter>
    <oddHeader>&amp;C&amp;9 نظام متابعة الحضور والانصراف — السعودية</oddHeader>
    <oddFooter>&amp;L&amp;8 نظام العمل السعودي وتعديلاته النافذة 19/02/2025&amp;R&amp;P / &amp;N</oddFooter>
  </headerFooter>
  <extLst>
    <ext xmlns:x14="http://schemas.microsoft.com/office/spreadsheetml/2009/9/main" uri="{78C0D931-6437-407d-A8EE-F0AAD7539E65}">
      <x14:conditionalFormattings>
        <x14:conditionalFormatting xmlns:xm="http://schemas.microsoft.com/office/excel/2006/main">
          <x14:cfRule type="dataBar" id="{955F3ABA-6380-491A-A4DE-8DE237B5A39A}">
            <x14:dataBar axisPosition="none">
              <x14:cfvo type="num">
                <xm:f>0</xm:f>
              </x14:cfvo>
              <x14:cfvo type="max"/>
              <x14:negativeFillColor rgb="FF2EA67A"/>
            </x14:dataBar>
          </x14:cfRule>
          <xm:sqref>K6:K45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الدليل</vt:lpstr>
      <vt:lpstr>الإعدادات</vt:lpstr>
      <vt:lpstr>الرموز</vt:lpstr>
      <vt:lpstr>الموظفون</vt:lpstr>
      <vt:lpstr>التقويم</vt:lpstr>
      <vt:lpstr>الحضور</vt:lpstr>
      <vt:lpstr>التوقيت</vt:lpstr>
      <vt:lpstr>الجزاءات</vt:lpstr>
      <vt:lpstr>الأرصدة</vt:lpstr>
      <vt:lpstr>التجميع</vt:lpstr>
      <vt:lpstr>التنبيهات</vt:lpstr>
      <vt:lpstr>الرواتب</vt:lpstr>
      <vt:lpstr>المؤشرات</vt:lpstr>
      <vt:lpstr>الكشف</vt:lpstr>
      <vt:lpstr>الإنذار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نظام متابعة الحضور والانصراف — السعودية</dc:title>
  <dc:subject>نظام العمل السعودي وتعديلاته النافذة 19/02/2025</dc:subject>
  <dc:creator>Imtithal — امتثال</dc:creator>
  <dc:description/>
  <cp:lastModifiedBy>Yass4479 Baset</cp:lastModifiedBy>
  <cp:revision>0</cp:revision>
  <dcterms:created xsi:type="dcterms:W3CDTF">2026-08-24T11:40:22Z</dcterms:created>
  <dcterms:modified xsi:type="dcterms:W3CDTF">2026-08-24T19:47:06Z</dcterms:modified>
  <dc:language>en-US</dc:language>
</cp:coreProperties>
</file>