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y_abd\Downloads\"/>
    </mc:Choice>
  </mc:AlternateContent>
  <xr:revisionPtr revIDLastSave="0" documentId="13_ncr:1_{B7EA7E9E-9758-4E1C-BEB1-91522252BD01}" xr6:coauthVersionLast="47" xr6:coauthVersionMax="47" xr10:uidLastSave="{00000000-0000-0000-0000-000000000000}"/>
  <bookViews>
    <workbookView xWindow="-110" yWindow="-110" windowWidth="25820" windowHeight="15500" tabRatio="500" firstSheet="4" activeTab="4" xr2:uid="{00000000-000D-0000-FFFF-FFFF00000000}"/>
  </bookViews>
  <sheets>
    <sheet name="غلاف" sheetId="1" r:id="rId1"/>
    <sheet name="تعليمات الاستخدام" sheetId="2" r:id="rId2"/>
    <sheet name="الأهداف الاستراتيجية" sheetId="3" r:id="rId3"/>
    <sheet name="سجل المخاطر" sheetId="4" r:id="rId4"/>
    <sheet name="الضوابط" sheetId="5" r:id="rId5"/>
    <sheet name="الأدلة والتأكيد" sheetId="6" r:id="rId6"/>
    <sheet name="مؤشرات المخاطر" sheetId="7" r:id="rId7"/>
    <sheet name="الإجراءات التصحيحية" sheetId="8" r:id="rId8"/>
    <sheet name="القرارات والتصعيد" sheetId="9" r:id="rId9"/>
    <sheet name="بيانات الرسوم" sheetId="10" state="hidden" r:id="rId10"/>
    <sheet name="لوحة القيادة" sheetId="11" r:id="rId11"/>
  </sheets>
  <definedNames>
    <definedName name="_xlnm.Print_Area" localSheetId="7">'الإجراءات التصحيحية'!$A$1:$I$32</definedName>
    <definedName name="_xlnm.Print_Area" localSheetId="5">'الأدلة والتأكيد'!$A$1:$G$32</definedName>
    <definedName name="_xlnm.Print_Area" localSheetId="2">'الأهداف الاستراتيجية'!$A$1:$G$26</definedName>
    <definedName name="_xlnm.Print_Area" localSheetId="4">الضوابط!$A$1:$H$32</definedName>
    <definedName name="_xlnm.Print_Area" localSheetId="8">'القرارات والتصعيد'!$A$1:$H$27</definedName>
    <definedName name="_xlnm.Print_Area" localSheetId="1">'تعليمات الاستخدام'!$A$1:$D$32</definedName>
    <definedName name="_xlnm.Print_Area" localSheetId="3">'سجل المخاطر'!$A$1:$L$32</definedName>
    <definedName name="_xlnm.Print_Area" localSheetId="0">غلاف!$A$1:$H$31</definedName>
    <definedName name="_xlnm.Print_Area" localSheetId="10">'لوحة القيادة'!$A$1:$L$32</definedName>
    <definedName name="_xlnm.Print_Area" localSheetId="6">'مؤشرات المخاطر'!$A$1:$J$32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2" i="10" l="1"/>
  <c r="B11" i="10"/>
  <c r="B10" i="10"/>
  <c r="A27" i="9"/>
  <c r="A26" i="9"/>
  <c r="A25" i="9"/>
  <c r="A24" i="9"/>
  <c r="A23" i="9"/>
  <c r="A22" i="9"/>
  <c r="A21" i="9"/>
  <c r="A20" i="9"/>
  <c r="A19" i="9"/>
  <c r="A18" i="9"/>
  <c r="A17" i="9"/>
  <c r="A16" i="9"/>
  <c r="A15" i="9"/>
  <c r="A14" i="9"/>
  <c r="A13" i="9"/>
  <c r="A12" i="9"/>
  <c r="A11" i="9"/>
  <c r="A10" i="9"/>
  <c r="A9" i="9"/>
  <c r="A8" i="9"/>
  <c r="A7" i="9"/>
  <c r="A6" i="9"/>
  <c r="A5" i="9"/>
  <c r="A4" i="9"/>
  <c r="A3" i="9"/>
  <c r="I32" i="8"/>
  <c r="H32" i="8"/>
  <c r="A32" i="8"/>
  <c r="I31" i="8"/>
  <c r="H31" i="8"/>
  <c r="A31" i="8"/>
  <c r="I30" i="8"/>
  <c r="H30" i="8"/>
  <c r="A30" i="8"/>
  <c r="I29" i="8"/>
  <c r="H29" i="8"/>
  <c r="A29" i="8"/>
  <c r="I28" i="8"/>
  <c r="H28" i="8"/>
  <c r="A28" i="8"/>
  <c r="I27" i="8"/>
  <c r="H27" i="8"/>
  <c r="A27" i="8"/>
  <c r="I26" i="8"/>
  <c r="H26" i="8"/>
  <c r="A26" i="8"/>
  <c r="I25" i="8"/>
  <c r="H25" i="8"/>
  <c r="A25" i="8"/>
  <c r="I24" i="8"/>
  <c r="H24" i="8"/>
  <c r="A24" i="8"/>
  <c r="I23" i="8"/>
  <c r="H23" i="8"/>
  <c r="A23" i="8"/>
  <c r="I22" i="8"/>
  <c r="H22" i="8"/>
  <c r="A22" i="8"/>
  <c r="I21" i="8"/>
  <c r="H21" i="8"/>
  <c r="A21" i="8"/>
  <c r="I20" i="8"/>
  <c r="H20" i="8"/>
  <c r="A20" i="8"/>
  <c r="I19" i="8"/>
  <c r="H19" i="8"/>
  <c r="A19" i="8"/>
  <c r="I18" i="8"/>
  <c r="H18" i="8"/>
  <c r="A18" i="8"/>
  <c r="I17" i="8"/>
  <c r="H17" i="8"/>
  <c r="A17" i="8"/>
  <c r="I16" i="8"/>
  <c r="H16" i="8"/>
  <c r="A16" i="8"/>
  <c r="I15" i="8"/>
  <c r="H15" i="8"/>
  <c r="A15" i="8"/>
  <c r="I14" i="8"/>
  <c r="H14" i="8"/>
  <c r="A14" i="8"/>
  <c r="I13" i="8"/>
  <c r="H13" i="8"/>
  <c r="A13" i="8"/>
  <c r="I12" i="8"/>
  <c r="H12" i="8"/>
  <c r="A12" i="8"/>
  <c r="I11" i="8"/>
  <c r="H11" i="8"/>
  <c r="A11" i="8"/>
  <c r="I10" i="8"/>
  <c r="H10" i="8"/>
  <c r="A10" i="8"/>
  <c r="I9" i="8"/>
  <c r="H9" i="8"/>
  <c r="A9" i="8"/>
  <c r="I8" i="8"/>
  <c r="H8" i="8"/>
  <c r="A8" i="8"/>
  <c r="I7" i="8"/>
  <c r="H7" i="8"/>
  <c r="A7" i="8"/>
  <c r="I6" i="8"/>
  <c r="H6" i="8"/>
  <c r="A6" i="8"/>
  <c r="I5" i="8"/>
  <c r="H5" i="8"/>
  <c r="A5" i="8"/>
  <c r="I4" i="8"/>
  <c r="H4" i="8"/>
  <c r="A4" i="8"/>
  <c r="I3" i="8"/>
  <c r="H3" i="8"/>
  <c r="A3" i="8"/>
  <c r="H32" i="7"/>
  <c r="C32" i="7"/>
  <c r="A32" i="7"/>
  <c r="H31" i="7"/>
  <c r="C31" i="7"/>
  <c r="A31" i="7"/>
  <c r="H30" i="7"/>
  <c r="C30" i="7"/>
  <c r="A30" i="7"/>
  <c r="H29" i="7"/>
  <c r="C29" i="7"/>
  <c r="A29" i="7"/>
  <c r="H28" i="7"/>
  <c r="C28" i="7"/>
  <c r="A28" i="7"/>
  <c r="H27" i="7"/>
  <c r="C27" i="7"/>
  <c r="A27" i="7"/>
  <c r="H26" i="7"/>
  <c r="C26" i="7"/>
  <c r="A26" i="7"/>
  <c r="H25" i="7"/>
  <c r="C25" i="7"/>
  <c r="A25" i="7"/>
  <c r="H24" i="7"/>
  <c r="C24" i="7"/>
  <c r="A24" i="7"/>
  <c r="H23" i="7"/>
  <c r="C23" i="7"/>
  <c r="A23" i="7"/>
  <c r="H22" i="7"/>
  <c r="C22" i="7"/>
  <c r="A22" i="7"/>
  <c r="H21" i="7"/>
  <c r="C21" i="7"/>
  <c r="A21" i="7"/>
  <c r="H20" i="7"/>
  <c r="C20" i="7"/>
  <c r="A20" i="7"/>
  <c r="H19" i="7"/>
  <c r="C19" i="7"/>
  <c r="A19" i="7"/>
  <c r="H18" i="7"/>
  <c r="C18" i="7"/>
  <c r="A18" i="7"/>
  <c r="H17" i="7"/>
  <c r="C17" i="7"/>
  <c r="A17" i="7"/>
  <c r="H16" i="7"/>
  <c r="C16" i="7"/>
  <c r="A16" i="7"/>
  <c r="H15" i="7"/>
  <c r="C15" i="7"/>
  <c r="A15" i="7"/>
  <c r="H14" i="7"/>
  <c r="C14" i="7"/>
  <c r="A14" i="7"/>
  <c r="H13" i="7"/>
  <c r="C13" i="7"/>
  <c r="A13" i="7"/>
  <c r="H12" i="7"/>
  <c r="C12" i="7"/>
  <c r="A12" i="7"/>
  <c r="H11" i="7"/>
  <c r="C11" i="7"/>
  <c r="A11" i="7"/>
  <c r="H10" i="7"/>
  <c r="C10" i="7"/>
  <c r="A10" i="7"/>
  <c r="H9" i="7"/>
  <c r="C9" i="7"/>
  <c r="A9" i="7"/>
  <c r="H8" i="7"/>
  <c r="A8" i="7"/>
  <c r="H7" i="7"/>
  <c r="A7" i="7"/>
  <c r="H6" i="7"/>
  <c r="A6" i="7"/>
  <c r="H5" i="7"/>
  <c r="A5" i="7"/>
  <c r="H4" i="7"/>
  <c r="C4" i="7"/>
  <c r="A4" i="7"/>
  <c r="H3" i="7"/>
  <c r="A3" i="7"/>
  <c r="C32" i="6"/>
  <c r="A32" i="6"/>
  <c r="C31" i="6"/>
  <c r="A31" i="6"/>
  <c r="C30" i="6"/>
  <c r="A30" i="6"/>
  <c r="C29" i="6"/>
  <c r="A29" i="6"/>
  <c r="C28" i="6"/>
  <c r="A28" i="6"/>
  <c r="C27" i="6"/>
  <c r="A27" i="6"/>
  <c r="C26" i="6"/>
  <c r="A26" i="6"/>
  <c r="C25" i="6"/>
  <c r="A25" i="6"/>
  <c r="C24" i="6"/>
  <c r="A24" i="6"/>
  <c r="C23" i="6"/>
  <c r="A23" i="6"/>
  <c r="C22" i="6"/>
  <c r="A22" i="6"/>
  <c r="C21" i="6"/>
  <c r="A21" i="6"/>
  <c r="C20" i="6"/>
  <c r="A20" i="6"/>
  <c r="C19" i="6"/>
  <c r="A19" i="6"/>
  <c r="C18" i="6"/>
  <c r="A18" i="6"/>
  <c r="C17" i="6"/>
  <c r="A17" i="6"/>
  <c r="C16" i="6"/>
  <c r="A16" i="6"/>
  <c r="C15" i="6"/>
  <c r="A15" i="6"/>
  <c r="C14" i="6"/>
  <c r="A14" i="6"/>
  <c r="C13" i="6"/>
  <c r="A13" i="6"/>
  <c r="C12" i="6"/>
  <c r="A12" i="6"/>
  <c r="C11" i="6"/>
  <c r="A11" i="6"/>
  <c r="C10" i="6"/>
  <c r="A10" i="6"/>
  <c r="C9" i="6"/>
  <c r="A9" i="6"/>
  <c r="A8" i="6"/>
  <c r="A7" i="6"/>
  <c r="A6" i="6"/>
  <c r="A5" i="6"/>
  <c r="A4" i="6"/>
  <c r="A3" i="6"/>
  <c r="C32" i="5"/>
  <c r="A32" i="5"/>
  <c r="C31" i="5"/>
  <c r="A31" i="5"/>
  <c r="C30" i="5"/>
  <c r="A30" i="5"/>
  <c r="C29" i="5"/>
  <c r="A29" i="5"/>
  <c r="C28" i="5"/>
  <c r="A28" i="5"/>
  <c r="C27" i="5"/>
  <c r="A27" i="5"/>
  <c r="C26" i="5"/>
  <c r="A26" i="5"/>
  <c r="C25" i="5"/>
  <c r="A25" i="5"/>
  <c r="C24" i="5"/>
  <c r="A24" i="5"/>
  <c r="C23" i="5"/>
  <c r="A23" i="5"/>
  <c r="C22" i="5"/>
  <c r="A22" i="5"/>
  <c r="C21" i="5"/>
  <c r="A21" i="5"/>
  <c r="C20" i="5"/>
  <c r="A20" i="5"/>
  <c r="C19" i="5"/>
  <c r="A19" i="5"/>
  <c r="C18" i="5"/>
  <c r="A18" i="5"/>
  <c r="C17" i="5"/>
  <c r="A17" i="5"/>
  <c r="C16" i="5"/>
  <c r="A16" i="5"/>
  <c r="C15" i="5"/>
  <c r="A15" i="5"/>
  <c r="C14" i="5"/>
  <c r="A14" i="5"/>
  <c r="C13" i="5"/>
  <c r="A13" i="5"/>
  <c r="C12" i="5"/>
  <c r="A12" i="5"/>
  <c r="C11" i="5"/>
  <c r="A11" i="5"/>
  <c r="C10" i="5"/>
  <c r="A10" i="5"/>
  <c r="C9" i="5"/>
  <c r="A9" i="5"/>
  <c r="A8" i="5"/>
  <c r="A7" i="5"/>
  <c r="A6" i="5"/>
  <c r="A5" i="5"/>
  <c r="C4" i="5"/>
  <c r="A4" i="5"/>
  <c r="C3" i="5"/>
  <c r="A3" i="5"/>
  <c r="I32" i="4"/>
  <c r="J32" i="4" s="1"/>
  <c r="C32" i="4"/>
  <c r="A32" i="4"/>
  <c r="I31" i="4"/>
  <c r="J31" i="4" s="1"/>
  <c r="C31" i="4"/>
  <c r="A31" i="4"/>
  <c r="I30" i="4"/>
  <c r="J30" i="4" s="1"/>
  <c r="C30" i="4"/>
  <c r="A30" i="4"/>
  <c r="I29" i="4"/>
  <c r="J29" i="4" s="1"/>
  <c r="C29" i="4"/>
  <c r="A29" i="4"/>
  <c r="I28" i="4"/>
  <c r="J28" i="4" s="1"/>
  <c r="C28" i="4"/>
  <c r="A28" i="4"/>
  <c r="I27" i="4"/>
  <c r="J27" i="4" s="1"/>
  <c r="C27" i="4"/>
  <c r="A27" i="4"/>
  <c r="I26" i="4"/>
  <c r="J26" i="4" s="1"/>
  <c r="C26" i="4"/>
  <c r="A26" i="4"/>
  <c r="I25" i="4"/>
  <c r="J25" i="4" s="1"/>
  <c r="C25" i="4"/>
  <c r="A25" i="4"/>
  <c r="I24" i="4"/>
  <c r="J24" i="4" s="1"/>
  <c r="C24" i="4"/>
  <c r="A24" i="4"/>
  <c r="I23" i="4"/>
  <c r="J23" i="4" s="1"/>
  <c r="C23" i="4"/>
  <c r="A23" i="4"/>
  <c r="I22" i="4"/>
  <c r="J22" i="4" s="1"/>
  <c r="C22" i="4"/>
  <c r="A22" i="4"/>
  <c r="I21" i="4"/>
  <c r="J21" i="4" s="1"/>
  <c r="C21" i="4"/>
  <c r="A21" i="4"/>
  <c r="I20" i="4"/>
  <c r="J20" i="4" s="1"/>
  <c r="C20" i="4"/>
  <c r="A20" i="4"/>
  <c r="I19" i="4"/>
  <c r="J19" i="4" s="1"/>
  <c r="C19" i="4"/>
  <c r="A19" i="4"/>
  <c r="I18" i="4"/>
  <c r="J18" i="4" s="1"/>
  <c r="C18" i="4"/>
  <c r="A18" i="4"/>
  <c r="I17" i="4"/>
  <c r="J17" i="4" s="1"/>
  <c r="C17" i="4"/>
  <c r="A17" i="4"/>
  <c r="I16" i="4"/>
  <c r="J16" i="4" s="1"/>
  <c r="C16" i="4"/>
  <c r="A16" i="4"/>
  <c r="I15" i="4"/>
  <c r="J15" i="4" s="1"/>
  <c r="C15" i="4"/>
  <c r="A15" i="4"/>
  <c r="I14" i="4"/>
  <c r="J14" i="4" s="1"/>
  <c r="C14" i="4"/>
  <c r="A14" i="4"/>
  <c r="I13" i="4"/>
  <c r="J13" i="4" s="1"/>
  <c r="C13" i="4"/>
  <c r="A13" i="4"/>
  <c r="I12" i="4"/>
  <c r="J12" i="4" s="1"/>
  <c r="C12" i="4"/>
  <c r="A12" i="4"/>
  <c r="I11" i="4"/>
  <c r="J11" i="4" s="1"/>
  <c r="C11" i="4"/>
  <c r="A11" i="4"/>
  <c r="J10" i="4"/>
  <c r="I10" i="4"/>
  <c r="C10" i="4"/>
  <c r="A10" i="4"/>
  <c r="I9" i="4"/>
  <c r="J9" i="4" s="1"/>
  <c r="C9" i="4"/>
  <c r="A9" i="4"/>
  <c r="I8" i="4"/>
  <c r="J8" i="4" s="1"/>
  <c r="A8" i="4"/>
  <c r="I7" i="4"/>
  <c r="J7" i="4" s="1"/>
  <c r="A7" i="4"/>
  <c r="I6" i="4"/>
  <c r="J6" i="4" s="1"/>
  <c r="A6" i="4"/>
  <c r="I5" i="4"/>
  <c r="J5" i="4" s="1"/>
  <c r="A5" i="4"/>
  <c r="J4" i="4"/>
  <c r="I4" i="4"/>
  <c r="A4" i="4"/>
  <c r="I3" i="4"/>
  <c r="J3" i="4" s="1"/>
  <c r="A3" i="4"/>
  <c r="A26" i="3"/>
  <c r="A25" i="3"/>
  <c r="A24" i="3"/>
  <c r="A23" i="3"/>
  <c r="A22" i="3"/>
  <c r="A21" i="3"/>
  <c r="A20" i="3"/>
  <c r="A19" i="3"/>
  <c r="A18" i="3"/>
  <c r="A17" i="3"/>
  <c r="A16" i="3"/>
  <c r="A15" i="3"/>
  <c r="A14" i="3"/>
  <c r="A13" i="3"/>
  <c r="A12" i="3"/>
  <c r="A11" i="3"/>
  <c r="A10" i="3"/>
  <c r="A9" i="3"/>
  <c r="A8" i="3"/>
  <c r="A7" i="3"/>
  <c r="A6" i="3"/>
  <c r="A5" i="3"/>
  <c r="A4" i="3"/>
  <c r="A3" i="3"/>
  <c r="K13" i="11"/>
  <c r="I13" i="11"/>
  <c r="G13" i="11"/>
  <c r="F13" i="11"/>
  <c r="E13" i="11"/>
  <c r="D13" i="11"/>
  <c r="C13" i="11"/>
  <c r="K12" i="11"/>
  <c r="I12" i="11"/>
  <c r="G12" i="11"/>
  <c r="F12" i="11"/>
  <c r="E12" i="11"/>
  <c r="D12" i="11"/>
  <c r="C12" i="11"/>
  <c r="K11" i="11"/>
  <c r="I11" i="11"/>
  <c r="G11" i="11"/>
  <c r="F11" i="11"/>
  <c r="E11" i="11"/>
  <c r="D11" i="11"/>
  <c r="C11" i="11"/>
  <c r="K10" i="11"/>
  <c r="I10" i="11"/>
  <c r="G10" i="11"/>
  <c r="F10" i="11"/>
  <c r="E10" i="11"/>
  <c r="D10" i="11"/>
  <c r="C10" i="11"/>
  <c r="K9" i="11"/>
  <c r="I9" i="11"/>
  <c r="G9" i="11"/>
  <c r="F9" i="11"/>
  <c r="E9" i="11"/>
  <c r="D9" i="11"/>
  <c r="C9" i="11"/>
  <c r="J5" i="11"/>
  <c r="F5" i="11"/>
  <c r="B5" i="11"/>
  <c r="D5" i="11" l="1"/>
  <c r="B18" i="10"/>
  <c r="B17" i="10"/>
  <c r="B16" i="10"/>
  <c r="C6" i="6"/>
  <c r="C5" i="6"/>
  <c r="C4" i="6"/>
  <c r="C3" i="6"/>
  <c r="C8" i="6"/>
  <c r="C7" i="6"/>
  <c r="C5" i="5"/>
  <c r="C5" i="7"/>
  <c r="C6" i="5"/>
  <c r="H5" i="11"/>
  <c r="B3" i="10"/>
  <c r="B4" i="10"/>
  <c r="B5" i="10"/>
  <c r="B6" i="10"/>
  <c r="C8" i="5"/>
  <c r="C3" i="7"/>
  <c r="C6" i="7"/>
  <c r="C8" i="7"/>
  <c r="C7" i="7"/>
  <c r="C7" i="5"/>
  <c r="C3" i="4"/>
  <c r="C7" i="4"/>
  <c r="C6" i="4"/>
  <c r="C5" i="4"/>
  <c r="C8" i="4"/>
  <c r="C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200-000001000000}">
      <text>
        <r>
          <rPr>
            <sz val="10"/>
            <rFont val="FreeSans"/>
            <family val="2"/>
          </rPr>
          <t>يُنشأ هذا المعرف تلقائيًا — لا تُعدّليه يدويًا</t>
        </r>
        <r>
          <rPr>
            <sz val="10"/>
            <rFont val="Arial"/>
            <family val="2"/>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300-000001000000}">
      <text>
        <r>
          <rPr>
            <sz val="10"/>
            <rFont val="FreeSans"/>
            <family val="2"/>
          </rPr>
          <t>يُنشأ هذا المعرف تلقائيًا فور كتابة وصف الخطر</t>
        </r>
        <r>
          <rPr>
            <sz val="10"/>
            <rFont val="Arial"/>
            <family val="2"/>
          </rPr>
          <t>.</t>
        </r>
      </text>
    </comment>
    <comment ref="I2" authorId="0" shapeId="0" xr:uid="{00000000-0006-0000-0300-000002000000}">
      <text>
        <r>
          <rPr>
            <sz val="10"/>
            <rFont val="Arial"/>
            <family val="2"/>
          </rPr>
          <t xml:space="preserve">= </t>
        </r>
        <r>
          <rPr>
            <sz val="10"/>
            <rFont val="FreeSans"/>
            <family val="2"/>
          </rPr>
          <t>الاحتمالية × التأثير (تُحسب تلقائيًا)</t>
        </r>
        <r>
          <rPr>
            <sz val="10"/>
            <rFont val="Arial"/>
            <family val="2"/>
          </rPr>
          <t>.</t>
        </r>
      </text>
    </comment>
    <comment ref="J2" authorId="0" shapeId="0" xr:uid="{00000000-0006-0000-0300-000003000000}">
      <text>
        <r>
          <rPr>
            <sz val="10"/>
            <rFont val="FreeSans"/>
            <family val="2"/>
          </rPr>
          <t xml:space="preserve">أقل من </t>
        </r>
        <r>
          <rPr>
            <sz val="10"/>
            <rFont val="Arial"/>
            <family val="2"/>
          </rPr>
          <t>4 منخفض | 4-8 متوسط | 9-14 عالي | 15 فأكثر حرج.</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400-000001000000}">
      <text>
        <r>
          <rPr>
            <sz val="10"/>
            <rFont val="FreeSans"/>
            <family val="2"/>
          </rPr>
          <t>يُنشأ هذا المعرف تلقائيًا فور كتابة وصف الضابط</t>
        </r>
        <r>
          <rPr>
            <sz val="10"/>
            <rFont val="Arial"/>
            <family val="2"/>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500-000001000000}">
      <text>
        <r>
          <rPr>
            <sz val="10"/>
            <rFont val="FreeSans"/>
            <family val="2"/>
          </rPr>
          <t>يُنشأ هذا المعرف تلقائيًا فور اختيار نوع الدليل</t>
        </r>
        <r>
          <rPr>
            <sz val="10"/>
            <rFont val="Arial"/>
            <family val="2"/>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600-000001000000}">
      <text>
        <r>
          <rPr>
            <sz val="10"/>
            <rFont val="FreeSans"/>
            <family val="2"/>
          </rPr>
          <t>يُنشأ هذا المعرف تلقائيًا فور كتابة اسم المؤشر</t>
        </r>
        <r>
          <rPr>
            <sz val="10"/>
            <rFont val="Arial"/>
            <family val="2"/>
          </rPr>
          <t>.</t>
        </r>
      </text>
    </comment>
    <comment ref="H2" authorId="0" shapeId="0" xr:uid="{00000000-0006-0000-0600-000002000000}">
      <text>
        <r>
          <rPr>
            <sz val="10"/>
            <rFont val="FreeSans"/>
            <family val="2"/>
          </rPr>
          <t>تُقارن القيمة الحالية بالحدين الأخضر والأصفر تلقائيًا</t>
        </r>
        <r>
          <rPr>
            <sz val="10"/>
            <rFont val="Arial"/>
            <family val="2"/>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700-000001000000}">
      <text>
        <r>
          <rPr>
            <sz val="10"/>
            <rFont val="FreeSans"/>
            <family val="2"/>
          </rPr>
          <t>يُنشأ هذا المعرف تلقائيًا فور كتابة وصف الإجراء</t>
        </r>
        <r>
          <rPr>
            <sz val="10"/>
            <rFont val="Arial"/>
            <family val="2"/>
          </rPr>
          <t>.</t>
        </r>
      </text>
    </comment>
    <comment ref="I2" authorId="0" shapeId="0" xr:uid="{00000000-0006-0000-0700-000002000000}">
      <text>
        <r>
          <rPr>
            <sz val="10"/>
            <rFont val="FreeSans"/>
            <family val="2"/>
          </rPr>
          <t>يتحدّث تلقائيًا حسب تاريخ الاستحقاق وتاريخ اليوم</t>
        </r>
        <r>
          <rPr>
            <sz val="10"/>
            <rFont val="Arial"/>
            <family val="2"/>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 authorId="0" shapeId="0" xr:uid="{00000000-0006-0000-0800-000001000000}">
      <text>
        <r>
          <rPr>
            <sz val="10"/>
            <rFont val="FreeSans"/>
            <family val="2"/>
          </rPr>
          <t>يُنشأ هذا المعرف تلقائيًا فور كتابة وصف القرار</t>
        </r>
        <r>
          <rPr>
            <sz val="10"/>
            <rFont val="Arial"/>
            <family val="2"/>
          </rPr>
          <t>.</t>
        </r>
      </text>
    </comment>
  </commentList>
</comments>
</file>

<file path=xl/sharedStrings.xml><?xml version="1.0" encoding="utf-8"?>
<sst xmlns="http://schemas.openxmlformats.org/spreadsheetml/2006/main" count="346" uniqueCount="265">
  <si>
    <t>امتثال  |  Imtithal</t>
  </si>
  <si>
    <t>الأداة التنفيذية لإدارة المخاطر وذكاء القرار</t>
  </si>
  <si>
    <t>من سجل المخاطر إلى غرفة القيادة</t>
  </si>
  <si>
    <t>نموذج عملي يترجم الإطار الوارد في مقال “من سجل المخاطر إلى غرفة القيادة” بقلم الجوهرة المبارك — مؤسِّسة LiveGRC، إلى أداة تشغيلية جاهزة للاستخدام: من تحديد الأهداف والمخاطر، مرورًا بالضوابط والأدلة والمؤشرات، وصولًا إلى الإجراءات والقرارات على مستوى القيادة.</t>
  </si>
  <si>
    <t>الأهداف</t>
  </si>
  <si>
    <t>المخاطر</t>
  </si>
  <si>
    <t>الضوابط</t>
  </si>
  <si>
    <t>الأدلة</t>
  </si>
  <si>
    <t>المؤشرات</t>
  </si>
  <si>
    <t>الإجراءات</t>
  </si>
  <si>
    <t>القرار</t>
  </si>
  <si>
    <t>←  رحلة الأداة عبر سبع مراحل مترابطة  ←</t>
  </si>
  <si>
    <t>المرجع: مقال “من سجل المخاطر إلى غرفة القيادة” — الجوهرة المبارك، مؤسِّسة LiveGRC</t>
  </si>
  <si>
    <t>LiveGRC.app   |   LinkedIn: aljwhara-almobarak-mba</t>
  </si>
  <si>
    <t>تصميم وتنفيذ: امتثال (Imtithal)   |   تاريخ الإصدار: 2026-08-31   |   الإصدار 1.0</t>
  </si>
  <si>
    <t>ابدأ من ورقة “تعليمات الاستخدام”</t>
  </si>
  <si>
    <t>تعليمات استخدام الأداة</t>
  </si>
  <si>
    <t>هذه الأداة تطبيق عملي لإطار المقال: الهدف يحدد ما نريد تحقيقه، والخطر يوضح ما قد يمنعنا، والضابط يحدد كيف نخفض التعرض، والدليل يثبت ما إذا كان الضابط يعمل، والمؤشر يوضح الاتجاه، ثم تتحول النتيجة إلى إجراء أو قرار. كل ورقة أدناه تمثل حلقة من هذه السلسلة، ومرتبطة بالتي تليها عبر معرّف تلقائي (ID) يتم اختياره من قائمة منسدلة.</t>
  </si>
  <si>
    <t>خريطة مراحل الأداة</t>
  </si>
  <si>
    <t>الورقة</t>
  </si>
  <si>
    <t>الغرض منها</t>
  </si>
  <si>
    <t>الأهداف الاستراتيجية</t>
  </si>
  <si>
    <t>تسجيل الأهداف التي قد تمنعها المخاطر — نقطة البداية لأي خطر.</t>
  </si>
  <si>
    <t>سجل المخاطر</t>
  </si>
  <si>
    <t>توثيق كل خطر، احتمالية وتأثير حدوثه، ودرجته ومستواه تلقائيًا.</t>
  </si>
  <si>
    <t>الإجراءات الوقائية أو الكاشفة المرتبطة بكل خطر، وتقييم فعاليتها.</t>
  </si>
  <si>
    <t>الأدلة والتأكيد</t>
  </si>
  <si>
    <t>الدليل على أن الضابط يعمل فعليًا (تدقيق، اختبار ذاتي، تقرير مستقل).</t>
  </si>
  <si>
    <t>مؤشرات المخاطر KRI</t>
  </si>
  <si>
    <t>مؤشرات الإنذار المبكر مع حدود خضراء/صفراء/حمراء وحالة تلقائية.</t>
  </si>
  <si>
    <t>الإجراءات التصحيحية</t>
  </si>
  <si>
    <t>إجراءات المعالجة (CAPA) مع مالك وتاريخ استحقاق وتنبيه تأخر تلقائي.</t>
  </si>
  <si>
    <t>القرارات والتصعيد</t>
  </si>
  <si>
    <t>القرارات التي تحتاجها القيادة، ومستوى التصعيد المناسب لها.</t>
  </si>
  <si>
    <t>لوحة القيادة</t>
  </si>
  <si>
    <t>ملخص تنفيذي حي يقرأ كل ما سبق تلقائيًا: مؤشرات، مصفوفة حرارة، رسوم بيانية.</t>
  </si>
  <si>
    <t>دليل الألوان والرموز</t>
  </si>
  <si>
    <t>نص أزرق</t>
  </si>
  <si>
    <t>خلية إدخال يدوي — عدّليها أو أضيفي صفوفًا جديدة بنفس التنسيق.</t>
  </si>
  <si>
    <t>نص أسود</t>
  </si>
  <si>
    <t>خلية بها صيغة تُحسب تلقائيًا — لا تُعدَّل يدويًا.</t>
  </si>
  <si>
    <t>تظليل أحمر / أصفر / أخضر</t>
  </si>
  <si>
    <t>مستوى الخطر أو حالة المؤشر أو التأخر — تتغيّر تلقائيًا حسب القيم المدخلة.</t>
  </si>
  <si>
    <t>الصفوف الرمادية الفاتحة أعلى كل جدول</t>
  </si>
  <si>
    <t>صف بيانات توضيحي (مثال) — يوضح طريقة التعبئة الصحيحة ويمكن استبداله ببياناتكم.</t>
  </si>
  <si>
    <t>خطوات الاستخدام</t>
  </si>
  <si>
    <t>1) سجّلي أهدافكم في ورقة «الأهداف الاستراتيجية».</t>
  </si>
  <si>
    <t>2) لكل هدف، سجّلي المخاطر التي قد تمنع تحقيقه في «سجل المخاطر» — اختاري معرّف الهدف من القائمة المنسدلة.</t>
  </si>
  <si>
    <t>3) لكل خطر، سجّلي الضوابط في «الضوابط»، ثم الدليل على فعاليتها في «الأدلة والتأكيد».</t>
  </si>
  <si>
    <t>4) حدّدي مؤشرات الإنذار المبكر (KRIs) لكل خطر في ورقتها، وحدّثي «القيمة الحالية» دوريًا.</t>
  </si>
  <si>
    <t>5) عند ظهور فجوة، افتحي إجراءً تصحيحيًا في «الإجراءات التصحيحية» وحدّدي مالكًا وتاريخ استحقاق.</t>
  </si>
  <si>
    <t>6) إذا احتاج الأمر قرارًا من الإدارة أو المجلس، سجّليه في «القرارات والتصعيد».</t>
  </si>
  <si>
    <t>7) راجعي «لوحة القيادة» بشكل دوري — تتحدث تلقائيًا مع كل تحديث في الأوراق السابقة.</t>
  </si>
  <si>
    <t>الأهداف الاستراتيجية — نقطة البداية لكل خطر</t>
  </si>
  <si>
    <t>معرف الهدف</t>
  </si>
  <si>
    <t>الهدف</t>
  </si>
  <si>
    <t>الوصف</t>
  </si>
  <si>
    <t>الفئة</t>
  </si>
  <si>
    <t>صاحب الهدف</t>
  </si>
  <si>
    <t>تاريخ المراجعة</t>
  </si>
  <si>
    <t>الحالة</t>
  </si>
  <si>
    <t>توسيع قاعدة العملاء المؤسسيين</t>
  </si>
  <si>
    <t>نمو الإيرادات من العملاء المؤسسيين خلال العام الحالي</t>
  </si>
  <si>
    <t>استراتيجي</t>
  </si>
  <si>
    <t>الإدارة التنفيذية</t>
  </si>
  <si>
    <t>نشط</t>
  </si>
  <si>
    <r>
      <rPr>
        <sz val="11"/>
        <color theme="1"/>
        <rFont val="FreeSans"/>
        <family val="2"/>
      </rPr>
      <t xml:space="preserve">إطلاق منصة </t>
    </r>
    <r>
      <rPr>
        <sz val="11"/>
        <color theme="1"/>
        <rFont val="Calibri"/>
        <family val="2"/>
        <charset val="1"/>
      </rPr>
      <t xml:space="preserve">LiveGRC </t>
    </r>
    <r>
      <rPr>
        <sz val="11"/>
        <color theme="1"/>
        <rFont val="FreeSans"/>
        <family val="2"/>
      </rPr>
      <t>السحابية الكاملة</t>
    </r>
  </si>
  <si>
    <r>
      <rPr>
        <sz val="11"/>
        <color theme="1"/>
        <rFont val="FreeSans"/>
        <family val="2"/>
      </rPr>
      <t xml:space="preserve">استكمال الانتقال من ملفات </t>
    </r>
    <r>
      <rPr>
        <sz val="11"/>
        <color theme="1"/>
        <rFont val="Calibri"/>
        <family val="2"/>
        <charset val="1"/>
      </rPr>
      <t xml:space="preserve">Excel </t>
    </r>
    <r>
      <rPr>
        <sz val="11"/>
        <color theme="1"/>
        <rFont val="FreeSans"/>
        <family val="2"/>
      </rPr>
      <t xml:space="preserve">إلى منصة </t>
    </r>
    <r>
      <rPr>
        <sz val="11"/>
        <color theme="1"/>
        <rFont val="Calibri"/>
        <family val="2"/>
        <charset val="1"/>
      </rPr>
      <t xml:space="preserve">SaaS </t>
    </r>
    <r>
      <rPr>
        <sz val="11"/>
        <color theme="1"/>
        <rFont val="FreeSans"/>
        <family val="2"/>
      </rPr>
      <t>متكاملة</t>
    </r>
  </si>
  <si>
    <t>فريق المنتج</t>
  </si>
  <si>
    <t>استمرارية الخدمة دون انقطاع</t>
  </si>
  <si>
    <t>ضمان تشغيل الأنظمة دون توقف يؤثر على العملاء</t>
  </si>
  <si>
    <t>تشغيلي</t>
  </si>
  <si>
    <t>فريق التشغيل وتقنية المعلومات</t>
  </si>
  <si>
    <t>الالتزام الكامل بمتطلبات حماية البيانات</t>
  </si>
  <si>
    <t>تحقيق الامتثال لأنظمة حماية البيانات ذات الصلة</t>
  </si>
  <si>
    <t>إدارة الامتثال</t>
  </si>
  <si>
    <t>حماية سمعة المؤسسة وثقة العملاء</t>
  </si>
  <si>
    <t>تجنّب الحوادث التي تؤثر على الثقة المؤسسية</t>
  </si>
  <si>
    <t>القيادة العليا</t>
  </si>
  <si>
    <t>سجل المخاطر — من التوثيق إلى ذكاء المخاطر</t>
  </si>
  <si>
    <t>معرف الخطر</t>
  </si>
  <si>
    <t>معرف الهدف المرتبط</t>
  </si>
  <si>
    <t>الهدف المرتبط</t>
  </si>
  <si>
    <t>وصف الخطر</t>
  </si>
  <si>
    <t>فئة الخطر</t>
  </si>
  <si>
    <t>صاحب الخطر</t>
  </si>
  <si>
    <t>الاحتمالية (1-5)</t>
  </si>
  <si>
    <t>التأثير (1-5)</t>
  </si>
  <si>
    <t>درجة الخطر</t>
  </si>
  <si>
    <t>مستوى الخطر</t>
  </si>
  <si>
    <t>تاريخ التحديد</t>
  </si>
  <si>
    <t>OBJ-002</t>
  </si>
  <si>
    <r>
      <rPr>
        <sz val="11"/>
        <color theme="1"/>
        <rFont val="FreeSans"/>
        <family val="2"/>
      </rPr>
      <t xml:space="preserve">تأخر تسليم منصة </t>
    </r>
    <r>
      <rPr>
        <sz val="11"/>
        <color theme="1"/>
        <rFont val="Calibri"/>
        <family val="2"/>
        <charset val="1"/>
      </rPr>
      <t xml:space="preserve">LiveGRC </t>
    </r>
    <r>
      <rPr>
        <sz val="11"/>
        <color theme="1"/>
        <rFont val="FreeSans"/>
        <family val="2"/>
      </rPr>
      <t>السحابية عن الجدول الزمني المخطط</t>
    </r>
  </si>
  <si>
    <t>مدير المنتج</t>
  </si>
  <si>
    <t>تحت المعالجة</t>
  </si>
  <si>
    <t>OBJ-003</t>
  </si>
  <si>
    <t>اختراق سيبراني يؤدي إلى توقف تشغيلي للمنصة</t>
  </si>
  <si>
    <t>سيبراني</t>
  </si>
  <si>
    <t>مدير تقنية المعلومات</t>
  </si>
  <si>
    <t>مفتوح</t>
  </si>
  <si>
    <t>OBJ-004</t>
  </si>
  <si>
    <t>عدم التزام أحد الموردين بمتطلبات حماية البيانات</t>
  </si>
  <si>
    <t>امتثال</t>
  </si>
  <si>
    <t>OBJ-005</t>
  </si>
  <si>
    <t>تسرب معلومات عملاء يؤثر على الثقة المؤسسية</t>
  </si>
  <si>
    <t>سمعة</t>
  </si>
  <si>
    <t>فريق أمن المعلومات</t>
  </si>
  <si>
    <t>OBJ-001</t>
  </si>
  <si>
    <t>بطء دورة المبيعات مقارنة بالمنافسين</t>
  </si>
  <si>
    <t>مدير المبيعات</t>
  </si>
  <si>
    <t>اعتماد مفرط على مزود استضافة سحابي واحد دون بديل</t>
  </si>
  <si>
    <t>فريق التشغيل</t>
  </si>
  <si>
    <t>مغلق</t>
  </si>
  <si>
    <t>الضوابط — كيف نخفض التعرض للخطر</t>
  </si>
  <si>
    <t>معرف الضابط</t>
  </si>
  <si>
    <t>معرف الخطر المرتبط</t>
  </si>
  <si>
    <t>الخطر المرتبط</t>
  </si>
  <si>
    <t>وصف الضابط</t>
  </si>
  <si>
    <t>نوع الضابط</t>
  </si>
  <si>
    <t>الفعالية</t>
  </si>
  <si>
    <t>الجهة المسؤولة</t>
  </si>
  <si>
    <t>تاريخ آخر اختبار</t>
  </si>
  <si>
    <t>RISK-001</t>
  </si>
  <si>
    <t>منهجية إدارة مشاريع رشيقة مع مراجعات أسبوعية للتقدم</t>
  </si>
  <si>
    <t>وقائي</t>
  </si>
  <si>
    <t>فعال</t>
  </si>
  <si>
    <t>مدير المشروع</t>
  </si>
  <si>
    <t>RISK-002</t>
  </si>
  <si>
    <t>جدار حماية وأنظمة كشف تسلل مع مراقبة على مدار الساعة</t>
  </si>
  <si>
    <t>كاشف</t>
  </si>
  <si>
    <t>جزئي</t>
  </si>
  <si>
    <t>RISK-003</t>
  </si>
  <si>
    <t>بند تعاقدي يُلزم الموردين بمعايير حماية البيانات</t>
  </si>
  <si>
    <t>RISK-004</t>
  </si>
  <si>
    <t>تشفير بيانات العملاء وضوابط صلاحيات الوصول</t>
  </si>
  <si>
    <t>RISK-005</t>
  </si>
  <si>
    <t>لوحة متابعة أداء المبيعات مع مراجعة شهرية</t>
  </si>
  <si>
    <t>RISK-006</t>
  </si>
  <si>
    <t>خطة تعافٍ من الكوارث تشمل مزودًا احتياطيًا</t>
  </si>
  <si>
    <t>تصحيحي</t>
  </si>
  <si>
    <t>غير فعال</t>
  </si>
  <si>
    <t>الأدلة والتأكيد — هل تعمل الضوابط فعليًا؟</t>
  </si>
  <si>
    <t>معرف الدليل</t>
  </si>
  <si>
    <t>معرف الضابط المرتبط</t>
  </si>
  <si>
    <t>الضابط المرتبط</t>
  </si>
  <si>
    <t>نوع الدليل</t>
  </si>
  <si>
    <t>تاريخ الجمع</t>
  </si>
  <si>
    <t>النتيجة</t>
  </si>
  <si>
    <t>ملاحظات</t>
  </si>
  <si>
    <t>CTRL-001</t>
  </si>
  <si>
    <t>تدقيق داخلي</t>
  </si>
  <si>
    <t>يعمل بفعالية</t>
  </si>
  <si>
    <t>التزام الفريق بمواعيد المراجعات الأسبوعية موثّق بالكامل</t>
  </si>
  <si>
    <t>CTRL-002</t>
  </si>
  <si>
    <t>اختبار اختراق خارجي</t>
  </si>
  <si>
    <t>يعمل جزئياً</t>
  </si>
  <si>
    <t>رصد تنبيهات متأخر أحيانًا عن الحد المستهدف</t>
  </si>
  <si>
    <t>CTRL-003</t>
  </si>
  <si>
    <t>مراجعة عقود</t>
  </si>
  <si>
    <t>جميع عقود الموردين الجدد تتضمن البند المطلوب</t>
  </si>
  <si>
    <t>CTRL-004</t>
  </si>
  <si>
    <t>اختبار ذاتي</t>
  </si>
  <si>
    <t>لا توجد صلاحيات وصول زائدة عند آخر مراجعة</t>
  </si>
  <si>
    <t>CTRL-005</t>
  </si>
  <si>
    <t>مراجعة إدارية</t>
  </si>
  <si>
    <t>اللوحة لا تغطي جميع قنوات المبيعات بعد</t>
  </si>
  <si>
    <t>CTRL-006</t>
  </si>
  <si>
    <t>تقرير خارجي</t>
  </si>
  <si>
    <t>لا يعمل</t>
  </si>
  <si>
    <t>المزود الاحتياطي غير مُختبر عمليًا منذ عام</t>
  </si>
  <si>
    <t>مؤشرات المخاطر الرئيسية KRIs — هل يتغيّر مستوى التعرض؟</t>
  </si>
  <si>
    <t>معرف المؤشر</t>
  </si>
  <si>
    <t>اسم المؤشر</t>
  </si>
  <si>
    <t>الحد الأخضر ≤</t>
  </si>
  <si>
    <t>الحد الأصفر ≤</t>
  </si>
  <si>
    <t>القيمة الحالية</t>
  </si>
  <si>
    <t>الاتجاه</t>
  </si>
  <si>
    <t>تاريخ القياس</t>
  </si>
  <si>
    <r>
      <rPr>
        <sz val="11"/>
        <color theme="1"/>
        <rFont val="FreeSans"/>
        <family val="2"/>
      </rPr>
      <t xml:space="preserve">نسبة المهام المتأخرة عن الخطة </t>
    </r>
    <r>
      <rPr>
        <sz val="11"/>
        <color theme="1"/>
        <rFont val="Calibri"/>
        <family val="2"/>
        <charset val="1"/>
      </rPr>
      <t>(%)</t>
    </r>
  </si>
  <si>
    <t>تصاعدي</t>
  </si>
  <si>
    <r>
      <rPr>
        <sz val="11"/>
        <color theme="1"/>
        <rFont val="FreeSans"/>
        <family val="2"/>
      </rPr>
      <t xml:space="preserve">محاولات الاختراق المكتشفة شهريًا </t>
    </r>
    <r>
      <rPr>
        <sz val="11"/>
        <color theme="1"/>
        <rFont val="Calibri"/>
        <family val="2"/>
        <charset val="1"/>
      </rPr>
      <t>(</t>
    </r>
    <r>
      <rPr>
        <sz val="11"/>
        <color theme="1"/>
        <rFont val="FreeSans"/>
        <family val="2"/>
      </rPr>
      <t>عدد</t>
    </r>
    <r>
      <rPr>
        <sz val="11"/>
        <color theme="1"/>
        <rFont val="Calibri"/>
        <family val="2"/>
        <charset val="1"/>
      </rPr>
      <t>)</t>
    </r>
  </si>
  <si>
    <r>
      <rPr>
        <sz val="11"/>
        <color theme="1"/>
        <rFont val="FreeSans"/>
        <family val="2"/>
      </rPr>
      <t xml:space="preserve">نسبة الموردين غير الملتزمين </t>
    </r>
    <r>
      <rPr>
        <sz val="11"/>
        <color theme="1"/>
        <rFont val="Calibri"/>
        <family val="2"/>
        <charset val="1"/>
      </rPr>
      <t>(%)</t>
    </r>
  </si>
  <si>
    <t>مستقر</t>
  </si>
  <si>
    <r>
      <rPr>
        <sz val="11"/>
        <color theme="1"/>
        <rFont val="FreeSans"/>
        <family val="2"/>
      </rPr>
      <t xml:space="preserve">حوادث الوصول غير المصرح به </t>
    </r>
    <r>
      <rPr>
        <sz val="11"/>
        <color theme="1"/>
        <rFont val="Calibri"/>
        <family val="2"/>
        <charset val="1"/>
      </rPr>
      <t>(</t>
    </r>
    <r>
      <rPr>
        <sz val="11"/>
        <color theme="1"/>
        <rFont val="FreeSans"/>
        <family val="2"/>
      </rPr>
      <t>عدد</t>
    </r>
    <r>
      <rPr>
        <sz val="11"/>
        <color theme="1"/>
        <rFont val="Calibri"/>
        <family val="2"/>
        <charset val="1"/>
      </rPr>
      <t>)</t>
    </r>
  </si>
  <si>
    <r>
      <rPr>
        <sz val="11"/>
        <color theme="1"/>
        <rFont val="FreeSans"/>
        <family val="2"/>
      </rPr>
      <t xml:space="preserve">متوسط مدة دورة المبيعات </t>
    </r>
    <r>
      <rPr>
        <sz val="11"/>
        <color theme="1"/>
        <rFont val="Calibri"/>
        <family val="2"/>
        <charset val="1"/>
      </rPr>
      <t>(</t>
    </r>
    <r>
      <rPr>
        <sz val="11"/>
        <color theme="1"/>
        <rFont val="FreeSans"/>
        <family val="2"/>
      </rPr>
      <t>يوم</t>
    </r>
    <r>
      <rPr>
        <sz val="11"/>
        <color theme="1"/>
        <rFont val="Calibri"/>
        <family val="2"/>
        <charset val="1"/>
      </rPr>
      <t>)</t>
    </r>
  </si>
  <si>
    <r>
      <rPr>
        <sz val="11"/>
        <color theme="1"/>
        <rFont val="FreeSans"/>
        <family val="2"/>
      </rPr>
      <t xml:space="preserve">زمن التعافي الفعلي عند الاختبار </t>
    </r>
    <r>
      <rPr>
        <sz val="11"/>
        <color theme="1"/>
        <rFont val="Calibri"/>
        <family val="2"/>
        <charset val="1"/>
      </rPr>
      <t>(</t>
    </r>
    <r>
      <rPr>
        <sz val="11"/>
        <color theme="1"/>
        <rFont val="FreeSans"/>
        <family val="2"/>
      </rPr>
      <t>ساعة</t>
    </r>
    <r>
      <rPr>
        <sz val="11"/>
        <color theme="1"/>
        <rFont val="Calibri"/>
        <family val="2"/>
        <charset val="1"/>
      </rPr>
      <t>)</t>
    </r>
  </si>
  <si>
    <t>تنازلي</t>
  </si>
  <si>
    <t>الإجراءات التصحيحية CAPA — ما الذي يجب معالجته؟</t>
  </si>
  <si>
    <t>معرف الإجراء</t>
  </si>
  <si>
    <t>مرتبط بـ</t>
  </si>
  <si>
    <t>المعرف المرتبط</t>
  </si>
  <si>
    <t>وصف الإجراء</t>
  </si>
  <si>
    <t>المالك</t>
  </si>
  <si>
    <t>تاريخ الاستحقاق</t>
  </si>
  <si>
    <t>الأيام المتبقية</t>
  </si>
  <si>
    <t>مؤشر التأخر</t>
  </si>
  <si>
    <t>خطر</t>
  </si>
  <si>
    <r>
      <rPr>
        <sz val="11"/>
        <color theme="1"/>
        <rFont val="FreeSans"/>
        <family val="2"/>
      </rPr>
      <t xml:space="preserve">تسريع مسار تسليم منصة </t>
    </r>
    <r>
      <rPr>
        <sz val="11"/>
        <color theme="1"/>
        <rFont val="Calibri"/>
        <family val="2"/>
        <charset val="1"/>
      </rPr>
      <t xml:space="preserve">LiveGRC </t>
    </r>
    <r>
      <rPr>
        <sz val="11"/>
        <color theme="1"/>
        <rFont val="FreeSans"/>
        <family val="2"/>
      </rPr>
      <t>عبر إعادة ترتيب الأولويات</t>
    </r>
  </si>
  <si>
    <t>قيد التنفيذ</t>
  </si>
  <si>
    <t>مؤشر</t>
  </si>
  <si>
    <t>KRI-002</t>
  </si>
  <si>
    <t>رفع مستوى مراقبة الأمن السيبراني إلى فريق مختص على مدار الساعة</t>
  </si>
  <si>
    <t>إغلاق فجوة الامتثال مع المورد غير الملتزم</t>
  </si>
  <si>
    <t>مكتمل</t>
  </si>
  <si>
    <t>ضابط</t>
  </si>
  <si>
    <t>اختبار خطة التعافي من الكوارث مع المزود الاحتياطي فعليًا</t>
  </si>
  <si>
    <t>مراجعة عملية المبيعات وتقصير دورة الموافقات</t>
  </si>
  <si>
    <t>KRI-005</t>
  </si>
  <si>
    <t>إعادة تصميم لوحة متابعة أداء المبيعات لتشمل جميع القنوات</t>
  </si>
  <si>
    <t>القرارات والتصعيد — ما الذي نحتاج أن نقرره؟</t>
  </si>
  <si>
    <t>معرف القرار</t>
  </si>
  <si>
    <t>وصف القرار المطلوب</t>
  </si>
  <si>
    <t>مستوى التصعيد</t>
  </si>
  <si>
    <t>تاريخ القرار</t>
  </si>
  <si>
    <t>القرار النهائي / الملاحظات</t>
  </si>
  <si>
    <t>الموافقة على استثمار إضافي في نظام كشف التسلل المتقدم</t>
  </si>
  <si>
    <t>مجلس إدارة</t>
  </si>
  <si>
    <t>معلق</t>
  </si>
  <si>
    <t>بانتظار عرض الموازنة من فريق تقنية المعلومات</t>
  </si>
  <si>
    <t>إجراء</t>
  </si>
  <si>
    <t>ACT-002</t>
  </si>
  <si>
    <t>تصعيد قرار تعيين مسؤول أمن معلومات متفرغ</t>
  </si>
  <si>
    <t>إدارة تنفيذية</t>
  </si>
  <si>
    <t>تمت الموافقة</t>
  </si>
  <si>
    <t>تمت الموافقة على المسمى الوظيفي، جارٍ الاستقطاب</t>
  </si>
  <si>
    <t>إعادة هيكلة عملية الموافقات في دورة المبيعات</t>
  </si>
  <si>
    <t>لجنة مخاطر</t>
  </si>
  <si>
    <t>اعتماد مزود سحابي احتياطي ثانٍ بدلاً من الحالي</t>
  </si>
  <si>
    <t>مرفوض</t>
  </si>
  <si>
    <t>تأجيل القرار لحين مراجعة التكلفة في الربع القادم</t>
  </si>
  <si>
    <t>توزيع المخاطر حسب المستوى</t>
  </si>
  <si>
    <t>العدد</t>
  </si>
  <si>
    <t>منخفض</t>
  </si>
  <si>
    <t>متوسط</t>
  </si>
  <si>
    <t>عالي</t>
  </si>
  <si>
    <t>حرج</t>
  </si>
  <si>
    <t>حالة الإجراءات التصحيحية</t>
  </si>
  <si>
    <t>حالة مؤشرات المخاطر</t>
  </si>
  <si>
    <t>أخضر</t>
  </si>
  <si>
    <t>أصفر</t>
  </si>
  <si>
    <t>أحمر</t>
  </si>
  <si>
    <t>لوحة القيادة — من سجل المخاطر إلى غرفة القيادة</t>
  </si>
  <si>
    <t>امتثال | Imtithal</t>
  </si>
  <si>
    <t>مؤشرات في المنطقة الحمراء</t>
  </si>
  <si>
    <t>الإجراءات المتأخرة</t>
  </si>
  <si>
    <t>متوسط درجة الخطر</t>
  </si>
  <si>
    <t>المخاطر الحرجة</t>
  </si>
  <si>
    <t>إجمالي المخاطر المسجلة</t>
  </si>
  <si>
    <t>مصفوفة حرارة المخاطر (الاحتمالية × التأثير)</t>
  </si>
  <si>
    <t>أعلى 5 مخاطر حسب الدرجة</t>
  </si>
  <si>
    <t>الاحتمالية \ التأثير</t>
  </si>
  <si>
    <t>تأثير 1</t>
  </si>
  <si>
    <t>تأثير 2</t>
  </si>
  <si>
    <t>تأثير 3</t>
  </si>
  <si>
    <t>تأثير 4</t>
  </si>
  <si>
    <t>تأثير 5</t>
  </si>
  <si>
    <t>الترتيب</t>
  </si>
  <si>
    <t>الدرجة</t>
  </si>
  <si>
    <t>احتمالية 5</t>
  </si>
  <si>
    <t>احتمالية 4</t>
  </si>
  <si>
    <t>احتمالية 3</t>
  </si>
  <si>
    <t>احتمالية 2</t>
  </si>
  <si>
    <t>احتمالية 1</t>
  </si>
  <si>
    <t>الرسوم البيانية التلخيصية</t>
  </si>
  <si>
    <t>تُحدَّث هذه اللوحة تلقائيًا مع كل تحديث للبيانات في أوراق السجلات — تصميم وتنفيذ: امتثال (Imtithal)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</si>
</sst>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28">
    <font>
      <sz val="11"/>
      <color theme="1"/>
      <name val="Calibri"/>
      <family val="2"/>
      <charset val="1"/>
    </font>
    <font>
      <b/>
      <sz val="16"/>
      <color rgb="FFB8935A"/>
      <name val="Arial"/>
      <charset val="1"/>
    </font>
    <font>
      <b/>
      <sz val="22"/>
      <color rgb="FF0F2A4A"/>
      <name val="Arial"/>
      <charset val="1"/>
    </font>
    <font>
      <sz val="11"/>
      <color rgb="FF1F2A37"/>
      <name val="Arial"/>
      <charset val="1"/>
    </font>
    <font>
      <b/>
      <sz val="10"/>
      <color rgb="FFFFFFFF"/>
      <name val="Arial"/>
      <charset val="1"/>
    </font>
    <font>
      <i/>
      <sz val="9"/>
      <color rgb="FF6E92B8"/>
      <name val="Arial"/>
      <charset val="1"/>
    </font>
    <font>
      <i/>
      <sz val="10"/>
      <color rgb="FF0F2A4A"/>
      <name val="Arial"/>
      <charset val="1"/>
    </font>
    <font>
      <sz val="9.5"/>
      <color rgb="FF6E92B8"/>
      <name val="Arial"/>
      <charset val="1"/>
    </font>
    <font>
      <sz val="9.5"/>
      <color rgb="FF1F2A37"/>
      <name val="Arial"/>
      <charset val="1"/>
    </font>
    <font>
      <b/>
      <sz val="15"/>
      <color rgb="FFFFFFFF"/>
      <name val="Arial"/>
      <charset val="1"/>
    </font>
    <font>
      <sz val="10.5"/>
      <color rgb="FF1F2A37"/>
      <name val="Arial"/>
      <charset val="1"/>
    </font>
    <font>
      <b/>
      <sz val="11"/>
      <color rgb="FFFFFFFF"/>
      <name val="Arial"/>
      <charset val="1"/>
    </font>
    <font>
      <b/>
      <sz val="10.5"/>
      <color rgb="FF0F2A4A"/>
      <name val="Arial"/>
      <charset val="1"/>
    </font>
    <font>
      <b/>
      <sz val="13"/>
      <color rgb="FFFFFFFF"/>
      <name val="Arial"/>
      <charset val="1"/>
    </font>
    <font>
      <sz val="11"/>
      <color theme="1"/>
      <name val="FreeSans"/>
      <family val="2"/>
    </font>
    <font>
      <sz val="10"/>
      <name val="FreeSans"/>
      <family val="2"/>
    </font>
    <font>
      <sz val="10"/>
      <name val="Arial"/>
      <family val="2"/>
    </font>
    <font>
      <b/>
      <sz val="11"/>
      <color rgb="FF0F2A4A"/>
      <name val="Arial"/>
      <charset val="1"/>
    </font>
    <font>
      <b/>
      <sz val="10"/>
      <name val="Arial"/>
      <charset val="1"/>
    </font>
    <font>
      <b/>
      <sz val="11"/>
      <color rgb="FFB8935A"/>
      <name val="Arial"/>
      <charset val="1"/>
    </font>
    <font>
      <b/>
      <sz val="9.5"/>
      <color rgb="FF0F2A4A"/>
      <name val="Arial"/>
      <charset val="1"/>
    </font>
    <font>
      <b/>
      <sz val="18"/>
      <color rgb="FFFFFFFF"/>
      <name val="Arial"/>
      <charset val="1"/>
    </font>
    <font>
      <b/>
      <sz val="9"/>
      <color rgb="FF0F2A4A"/>
      <name val="Arial"/>
      <charset val="1"/>
    </font>
    <font>
      <b/>
      <sz val="9.5"/>
      <color rgb="FFFFFFFF"/>
      <name val="Arial"/>
      <charset val="1"/>
    </font>
    <font>
      <b/>
      <sz val="10.5"/>
      <color rgb="FFFFFFFF"/>
      <name val="Arial"/>
      <charset val="1"/>
    </font>
    <font>
      <b/>
      <sz val="10"/>
      <color rgb="FF0F2A4A"/>
      <name val="Arial"/>
      <charset val="1"/>
    </font>
    <font>
      <b/>
      <sz val="10.5"/>
      <color rgb="FFC0392B"/>
      <name val="Arial"/>
      <charset val="1"/>
    </font>
    <font>
      <i/>
      <sz val="9.5"/>
      <color rgb="FFB8935A"/>
      <name val="Arial"/>
      <charset val="1"/>
    </font>
  </fonts>
  <fills count="10">
    <fill>
      <patternFill patternType="none"/>
    </fill>
    <fill>
      <patternFill patternType="gray125"/>
    </fill>
    <fill>
      <patternFill patternType="solid">
        <fgColor rgb="FF0F2A4A"/>
        <bgColor rgb="FF1F2A37"/>
      </patternFill>
    </fill>
    <fill>
      <patternFill patternType="solid">
        <fgColor rgb="FF1B3A5C"/>
        <bgColor rgb="FF0F2A4A"/>
      </patternFill>
    </fill>
    <fill>
      <patternFill patternType="solid">
        <fgColor rgb="FFB8935A"/>
        <bgColor rgb="FFE0A526"/>
      </patternFill>
    </fill>
    <fill>
      <patternFill patternType="solid">
        <fgColor rgb="FFEADFC8"/>
        <bgColor rgb="FFF6D9D4"/>
      </patternFill>
    </fill>
    <fill>
      <patternFill patternType="solid">
        <fgColor rgb="FFF4F6F9"/>
        <bgColor rgb="FFF9F9F9"/>
      </patternFill>
    </fill>
    <fill>
      <patternFill patternType="solid">
        <fgColor rgb="FFC0392B"/>
        <bgColor rgb="FF993366"/>
      </patternFill>
    </fill>
    <fill>
      <patternFill patternType="solid">
        <fgColor rgb="FFE0A526"/>
        <bgColor rgb="FFB8935A"/>
      </patternFill>
    </fill>
    <fill>
      <patternFill patternType="solid">
        <fgColor rgb="FFDCEFE7"/>
        <bgColor rgb="FFD9DEE5"/>
      </patternFill>
    </fill>
  </fills>
  <borders count="2">
    <border>
      <left/>
      <right/>
      <top/>
      <bottom/>
      <diagonal/>
    </border>
    <border>
      <left style="thin">
        <color rgb="FFD9DEE5"/>
      </left>
      <right style="thin">
        <color rgb="FFD9DEE5"/>
      </right>
      <top style="thin">
        <color rgb="FFD9DEE5"/>
      </top>
      <bottom style="thin">
        <color rgb="FFD9DEE5"/>
      </bottom>
      <diagonal/>
    </border>
  </borders>
  <cellStyleXfs count="1">
    <xf numFmtId="0" fontId="0" fillId="0" borderId="0"/>
  </cellStyleXfs>
  <cellXfs count="53">
    <xf numFmtId="0" fontId="0" fillId="0" borderId="0" xfId="0"/>
    <xf numFmtId="0" fontId="3" fillId="0" borderId="0" xfId="0" applyFont="1" applyAlignment="1">
      <alignment horizontal="center" vertical="center" wrapText="1" readingOrder="2"/>
    </xf>
    <xf numFmtId="0" fontId="1" fillId="0" borderId="0" xfId="0" applyFont="1" applyAlignment="1">
      <alignment horizontal="center" readingOrder="2"/>
    </xf>
    <xf numFmtId="0" fontId="2" fillId="0" borderId="0" xfId="0" applyFont="1" applyAlignment="1">
      <alignment horizontal="center" readingOrder="2"/>
    </xf>
    <xf numFmtId="0" fontId="1" fillId="2" borderId="0" xfId="0" applyFont="1" applyFill="1" applyAlignment="1">
      <alignment horizontal="center" vertical="center" readingOrder="2"/>
    </xf>
    <xf numFmtId="0" fontId="27" fillId="2" borderId="0" xfId="0" applyFont="1" applyFill="1" applyAlignment="1">
      <alignment horizontal="center" vertical="center" readingOrder="2"/>
    </xf>
    <xf numFmtId="0" fontId="8" fillId="0" borderId="1" xfId="0" applyFont="1" applyBorder="1" applyAlignment="1">
      <alignment horizontal="right" vertical="center" wrapText="1" readingOrder="2"/>
    </xf>
    <xf numFmtId="0" fontId="23" fillId="4" borderId="1" xfId="0" applyFont="1" applyFill="1" applyBorder="1" applyAlignment="1">
      <alignment horizontal="center" vertical="center" wrapText="1" readingOrder="2"/>
    </xf>
    <xf numFmtId="0" fontId="11" fillId="3" borderId="0" xfId="0" applyFont="1" applyFill="1" applyAlignment="1">
      <alignment horizontal="center" vertical="center" readingOrder="2"/>
    </xf>
    <xf numFmtId="0" fontId="21" fillId="2" borderId="0" xfId="0" applyFont="1" applyFill="1" applyAlignment="1">
      <alignment horizontal="center" vertical="center" readingOrder="2"/>
    </xf>
    <xf numFmtId="165" fontId="21" fillId="4" borderId="0" xfId="0" applyNumberFormat="1" applyFont="1" applyFill="1" applyAlignment="1">
      <alignment horizontal="center" vertical="center" readingOrder="2"/>
    </xf>
    <xf numFmtId="0" fontId="21" fillId="7" borderId="0" xfId="0" applyFont="1" applyFill="1" applyAlignment="1">
      <alignment horizontal="center" vertical="center" readingOrder="2"/>
    </xf>
    <xf numFmtId="0" fontId="20" fillId="6" borderId="0" xfId="0" applyFont="1" applyFill="1" applyAlignment="1">
      <alignment horizontal="center" vertical="center" wrapText="1" readingOrder="2"/>
    </xf>
    <xf numFmtId="0" fontId="19" fillId="2" borderId="0" xfId="0" applyFont="1" applyFill="1" applyAlignment="1">
      <alignment horizontal="center" vertical="center" readingOrder="2"/>
    </xf>
    <xf numFmtId="0" fontId="9" fillId="2" borderId="0" xfId="0" applyFont="1" applyFill="1" applyAlignment="1">
      <alignment horizontal="right" vertical="center" readingOrder="2"/>
    </xf>
    <xf numFmtId="0" fontId="0" fillId="2" borderId="0" xfId="0" applyFill="1"/>
    <xf numFmtId="0" fontId="4" fillId="3" borderId="0" xfId="0" applyFont="1" applyFill="1" applyAlignment="1">
      <alignment horizontal="center" vertical="center" readingOrder="2"/>
    </xf>
    <xf numFmtId="0" fontId="4" fillId="4" borderId="0" xfId="0" applyFont="1" applyFill="1" applyAlignment="1">
      <alignment horizontal="center" vertical="center" readingOrder="2"/>
    </xf>
    <xf numFmtId="0" fontId="11" fillId="3" borderId="1" xfId="0" applyFont="1" applyFill="1" applyBorder="1" applyAlignment="1">
      <alignment horizontal="center" vertical="center" wrapText="1" readingOrder="2"/>
    </xf>
    <xf numFmtId="0" fontId="12" fillId="0" borderId="1" xfId="0" applyFont="1" applyBorder="1" applyAlignment="1">
      <alignment horizontal="right" vertical="center" readingOrder="2"/>
    </xf>
    <xf numFmtId="0" fontId="10" fillId="0" borderId="1" xfId="0" applyFont="1" applyBorder="1" applyAlignment="1">
      <alignment horizontal="right" vertical="center" wrapText="1" readingOrder="2"/>
    </xf>
    <xf numFmtId="0" fontId="12" fillId="0" borderId="1" xfId="0" applyFont="1" applyBorder="1" applyAlignment="1">
      <alignment horizontal="right" vertical="center" wrapText="1" readingOrder="2"/>
    </xf>
    <xf numFmtId="0" fontId="12" fillId="5" borderId="1" xfId="0" applyFont="1" applyFill="1" applyBorder="1" applyAlignment="1">
      <alignment horizontal="center" vertical="center" readingOrder="2"/>
    </xf>
    <xf numFmtId="0" fontId="14" fillId="5" borderId="1" xfId="0" applyFont="1" applyFill="1" applyBorder="1" applyAlignment="1">
      <alignment horizontal="right" vertical="center" wrapText="1" readingOrder="2"/>
    </xf>
    <xf numFmtId="0" fontId="14" fillId="5" borderId="1" xfId="0" applyFont="1" applyFill="1" applyBorder="1" applyAlignment="1">
      <alignment horizontal="center" vertical="center" readingOrder="2"/>
    </xf>
    <xf numFmtId="164" fontId="0" fillId="5" borderId="1" xfId="0" applyNumberFormat="1" applyFill="1" applyBorder="1" applyAlignment="1">
      <alignment horizontal="center" vertical="center" readingOrder="2"/>
    </xf>
    <xf numFmtId="0" fontId="12" fillId="0" borderId="1" xfId="0" applyFont="1" applyBorder="1" applyAlignment="1">
      <alignment horizontal="center" vertical="center" readingOrder="2"/>
    </xf>
    <xf numFmtId="0" fontId="10" fillId="0" borderId="1" xfId="0" applyFont="1" applyBorder="1" applyAlignment="1">
      <alignment horizontal="center" vertical="center" readingOrder="2"/>
    </xf>
    <xf numFmtId="164" fontId="10" fillId="0" borderId="1" xfId="0" applyNumberFormat="1" applyFont="1" applyBorder="1" applyAlignment="1">
      <alignment horizontal="center" vertical="center" readingOrder="2"/>
    </xf>
    <xf numFmtId="0" fontId="0" fillId="5" borderId="1" xfId="0" applyFill="1" applyBorder="1" applyAlignment="1">
      <alignment horizontal="center" vertical="center" readingOrder="2"/>
    </xf>
    <xf numFmtId="0" fontId="0" fillId="0" borderId="1" xfId="0" applyBorder="1" applyAlignment="1">
      <alignment horizontal="center" vertical="center" readingOrder="2"/>
    </xf>
    <xf numFmtId="0" fontId="0" fillId="0" borderId="1" xfId="0" applyBorder="1" applyAlignment="1">
      <alignment horizontal="right" vertical="center" wrapText="1" readingOrder="2"/>
    </xf>
    <xf numFmtId="0" fontId="17" fillId="0" borderId="0" xfId="0" applyFont="1"/>
    <xf numFmtId="0" fontId="18" fillId="0" borderId="0" xfId="0" applyFont="1"/>
    <xf numFmtId="0" fontId="14" fillId="0" borderId="0" xfId="0" applyFont="1"/>
    <xf numFmtId="0" fontId="22" fillId="6" borderId="0" xfId="0" applyFont="1" applyFill="1" applyAlignment="1">
      <alignment horizontal="center" vertical="center" wrapText="1" readingOrder="2"/>
    </xf>
    <xf numFmtId="0" fontId="23" fillId="3" borderId="0" xfId="0" applyFont="1" applyFill="1" applyAlignment="1">
      <alignment horizontal="center" vertical="center" readingOrder="2"/>
    </xf>
    <xf numFmtId="0" fontId="23" fillId="4" borderId="1" xfId="0" applyFont="1" applyFill="1" applyBorder="1" applyAlignment="1">
      <alignment horizontal="center" vertical="center" wrapText="1" readingOrder="2"/>
    </xf>
    <xf numFmtId="0" fontId="12" fillId="8" borderId="1" xfId="0" applyFont="1" applyFill="1" applyBorder="1" applyAlignment="1">
      <alignment horizontal="center" vertical="center" readingOrder="2"/>
    </xf>
    <xf numFmtId="0" fontId="24" fillId="7" borderId="1" xfId="0" applyFont="1" applyFill="1" applyBorder="1" applyAlignment="1">
      <alignment horizontal="center" vertical="center" readingOrder="2"/>
    </xf>
    <xf numFmtId="0" fontId="25" fillId="0" borderId="1" xfId="0" applyFont="1" applyBorder="1" applyAlignment="1">
      <alignment horizontal="center" vertical="center" readingOrder="2"/>
    </xf>
    <xf numFmtId="0" fontId="26" fillId="0" borderId="1" xfId="0" applyFont="1" applyBorder="1" applyAlignment="1">
      <alignment horizontal="center" vertical="center" readingOrder="2"/>
    </xf>
    <xf numFmtId="0" fontId="12" fillId="9" borderId="1" xfId="0" applyFont="1" applyFill="1" applyBorder="1" applyAlignment="1">
      <alignment horizontal="center" vertical="center" readingOrder="2"/>
    </xf>
    <xf numFmtId="0" fontId="5" fillId="0" borderId="0" xfId="0" applyFont="1" applyAlignment="1">
      <alignment horizontal="center" readingOrder="2"/>
    </xf>
    <xf numFmtId="0" fontId="6" fillId="0" borderId="0" xfId="0" applyFont="1" applyAlignment="1">
      <alignment horizontal="center" readingOrder="2"/>
    </xf>
    <xf numFmtId="0" fontId="7" fillId="0" borderId="0" xfId="0" applyFont="1" applyAlignment="1">
      <alignment horizontal="center" readingOrder="2"/>
    </xf>
    <xf numFmtId="0" fontId="8" fillId="0" borderId="0" xfId="0" applyFont="1" applyAlignment="1">
      <alignment horizontal="center" readingOrder="2"/>
    </xf>
    <xf numFmtId="0" fontId="4" fillId="2" borderId="0" xfId="0" applyFont="1" applyFill="1" applyAlignment="1">
      <alignment horizontal="center" vertical="center" readingOrder="2"/>
    </xf>
    <xf numFmtId="0" fontId="9" fillId="2" borderId="0" xfId="0" applyFont="1" applyFill="1" applyAlignment="1">
      <alignment horizontal="center" vertical="center" readingOrder="2"/>
    </xf>
    <xf numFmtId="0" fontId="10" fillId="0" borderId="0" xfId="0" applyFont="1" applyAlignment="1">
      <alignment horizontal="right" vertical="top" wrapText="1" readingOrder="2"/>
    </xf>
    <xf numFmtId="0" fontId="11" fillId="4" borderId="0" xfId="0" applyFont="1" applyFill="1" applyAlignment="1">
      <alignment horizontal="center" vertical="center" readingOrder="2"/>
    </xf>
    <xf numFmtId="0" fontId="10" fillId="0" borderId="0" xfId="0" applyFont="1" applyAlignment="1">
      <alignment horizontal="right" vertical="center" wrapText="1" readingOrder="2"/>
    </xf>
    <xf numFmtId="0" fontId="13" fillId="2" borderId="0" xfId="0" applyFont="1" applyFill="1" applyAlignment="1">
      <alignment horizontal="center" vertical="center" readingOrder="2"/>
    </xf>
  </cellXfs>
  <cellStyles count="1">
    <cellStyle name="Normal" xfId="0" builtinId="0"/>
  </cellStyles>
  <dxfs count="19">
    <dxf>
      <font>
        <b/>
        <color rgb="FFC0392B"/>
        <name val="Arial"/>
        <charset val="1"/>
      </font>
      <fill>
        <patternFill>
          <bgColor rgb="FFF6D9D4"/>
        </patternFill>
      </fill>
    </dxf>
    <dxf>
      <font>
        <b/>
        <color rgb="FF0F2A4A"/>
        <name val="Arial"/>
        <charset val="1"/>
      </font>
      <fill>
        <patternFill>
          <bgColor rgb="FFFBEACB"/>
        </patternFill>
      </fill>
    </dxf>
    <dxf>
      <font>
        <b/>
        <color rgb="FF3F9873"/>
        <name val="Arial"/>
        <charset val="1"/>
      </font>
      <fill>
        <patternFill>
          <bgColor rgb="FFDCEFE7"/>
        </patternFill>
      </fill>
    </dxf>
    <dxf>
      <font>
        <b/>
        <color rgb="FF3F9873"/>
        <name val="Arial"/>
        <charset val="1"/>
      </font>
      <fill>
        <patternFill>
          <bgColor rgb="FFDCEFE7"/>
        </patternFill>
      </fill>
    </dxf>
    <dxf>
      <font>
        <b/>
        <color rgb="FFFFFFFF"/>
        <name val="Arial"/>
        <charset val="1"/>
      </font>
      <fill>
        <patternFill>
          <bgColor rgb="FFC0392B"/>
        </patternFill>
      </fill>
    </dxf>
    <dxf>
      <font>
        <b/>
        <color rgb="FF3F9873"/>
        <name val="Arial"/>
        <charset val="1"/>
      </font>
      <fill>
        <patternFill>
          <bgColor rgb="FFDCEFE7"/>
        </patternFill>
      </fill>
    </dxf>
    <dxf>
      <font>
        <b/>
        <color rgb="FFC0392B"/>
        <name val="Arial"/>
        <charset val="1"/>
      </font>
      <fill>
        <patternFill>
          <bgColor rgb="FFF6D9D4"/>
        </patternFill>
      </fill>
    </dxf>
    <dxf>
      <font>
        <b/>
        <color rgb="FF0F2A4A"/>
        <name val="Arial"/>
        <charset val="1"/>
      </font>
      <fill>
        <patternFill>
          <bgColor rgb="FFFBEACB"/>
        </patternFill>
      </fill>
    </dxf>
    <dxf>
      <font>
        <b/>
        <color rgb="FF3F9873"/>
        <name val="Arial"/>
        <charset val="1"/>
      </font>
      <fill>
        <patternFill>
          <bgColor rgb="FFDCEFE7"/>
        </patternFill>
      </fill>
    </dxf>
    <dxf>
      <font>
        <b/>
        <color rgb="FFC0392B"/>
        <name val="Arial"/>
        <charset val="1"/>
      </font>
      <fill>
        <patternFill>
          <bgColor rgb="FFF6D9D4"/>
        </patternFill>
      </fill>
    </dxf>
    <dxf>
      <font>
        <b/>
        <color rgb="FF0F2A4A"/>
        <name val="Arial"/>
        <charset val="1"/>
      </font>
      <fill>
        <patternFill>
          <bgColor rgb="FFFBEACB"/>
        </patternFill>
      </fill>
    </dxf>
    <dxf>
      <font>
        <b/>
        <color rgb="FF3F9873"/>
        <name val="Arial"/>
        <charset val="1"/>
      </font>
      <fill>
        <patternFill>
          <bgColor rgb="FFDCEFE7"/>
        </patternFill>
      </fill>
    </dxf>
    <dxf>
      <font>
        <b/>
        <color rgb="FFC0392B"/>
        <name val="Arial"/>
        <charset val="1"/>
      </font>
      <fill>
        <patternFill>
          <bgColor rgb="FFF6D9D4"/>
        </patternFill>
      </fill>
    </dxf>
    <dxf>
      <font>
        <b/>
        <color rgb="FF0F2A4A"/>
        <name val="Arial"/>
        <charset val="1"/>
      </font>
      <fill>
        <patternFill>
          <bgColor rgb="FFFBEACB"/>
        </patternFill>
      </fill>
    </dxf>
    <dxf>
      <font>
        <b/>
        <color rgb="FF3F9873"/>
        <name val="Arial"/>
        <charset val="1"/>
      </font>
      <fill>
        <patternFill>
          <bgColor rgb="FFDCEFE7"/>
        </patternFill>
      </fill>
    </dxf>
    <dxf>
      <font>
        <b/>
        <color rgb="FF3F9873"/>
        <name val="Arial"/>
        <charset val="1"/>
      </font>
      <fill>
        <patternFill>
          <bgColor rgb="FFDCEFE7"/>
        </patternFill>
      </fill>
    </dxf>
    <dxf>
      <font>
        <b/>
        <color rgb="FF0F2A4A"/>
        <name val="Arial"/>
        <charset val="1"/>
      </font>
      <fill>
        <patternFill>
          <bgColor rgb="FFEADFC8"/>
        </patternFill>
      </fill>
    </dxf>
    <dxf>
      <font>
        <b/>
        <color rgb="FFFFFFFF"/>
        <name val="Arial"/>
        <charset val="1"/>
      </font>
      <fill>
        <patternFill>
          <bgColor rgb="FFE0A526"/>
        </patternFill>
      </fill>
    </dxf>
    <dxf>
      <font>
        <b/>
        <color rgb="FFFFFFFF"/>
        <name val="Arial"/>
        <charset val="1"/>
      </font>
      <fill>
        <patternFill>
          <bgColor rgb="FFC0392B"/>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EADFC8"/>
      <rgbColor rgb="FF878787"/>
      <rgbColor rgb="FF9999FF"/>
      <rgbColor rgb="FF993366"/>
      <rgbColor rgb="FFF9F9F9"/>
      <rgbColor rgb="FFDCEFE7"/>
      <rgbColor rgb="FF660066"/>
      <rgbColor rgb="FFB8935A"/>
      <rgbColor rgb="FF0066CC"/>
      <rgbColor rgb="FFD9D9D9"/>
      <rgbColor rgb="FF000080"/>
      <rgbColor rgb="FFFF00FF"/>
      <rgbColor rgb="FFFFFF00"/>
      <rgbColor rgb="FF00FFFF"/>
      <rgbColor rgb="FF800080"/>
      <rgbColor rgb="FF800000"/>
      <rgbColor rgb="FF008080"/>
      <rgbColor rgb="FF0000FF"/>
      <rgbColor rgb="FF00CCFF"/>
      <rgbColor rgb="FFF4F6F9"/>
      <rgbColor rgb="FFD9DEE5"/>
      <rgbColor rgb="FFFBEACB"/>
      <rgbColor rgb="FF99CCFF"/>
      <rgbColor rgb="FFFF99CC"/>
      <rgbColor rgb="FFCC99FF"/>
      <rgbColor rgb="FFF6D9D4"/>
      <rgbColor rgb="FF3366FF"/>
      <rgbColor rgb="FF33CCCC"/>
      <rgbColor rgb="FF99CC00"/>
      <rgbColor rgb="FFFFCC00"/>
      <rgbColor rgb="FFE0A526"/>
      <rgbColor rgb="FFFF6600"/>
      <rgbColor rgb="FF4F81BD"/>
      <rgbColor rgb="FF6E92B8"/>
      <rgbColor rgb="FF0F2A4A"/>
      <rgbColor rgb="FF3F9873"/>
      <rgbColor rgb="FF003300"/>
      <rgbColor rgb="FF333300"/>
      <rgbColor rgb="FFC0392B"/>
      <rgbColor rgb="FF993366"/>
      <rgbColor rgb="FF1B3A5C"/>
      <rgbColor rgb="FF1F2A3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ar-EG" sz="1800" b="1" strike="noStrike" spc="-1">
                <a:solidFill>
                  <a:srgbClr val="000000"/>
                </a:solidFill>
                <a:latin typeface="Calibri"/>
              </a:rPr>
              <a:t>توزيع المخاطر حسب المستوى</a:t>
            </a:r>
          </a:p>
        </c:rich>
      </c:tx>
      <c:overlay val="0"/>
      <c:spPr>
        <a:noFill/>
        <a:ln w="0">
          <a:noFill/>
        </a:ln>
      </c:spPr>
    </c:title>
    <c:autoTitleDeleted val="0"/>
    <c:plotArea>
      <c:layout/>
      <c:barChart>
        <c:barDir val="col"/>
        <c:grouping val="clustered"/>
        <c:varyColors val="0"/>
        <c:ser>
          <c:idx val="0"/>
          <c:order val="0"/>
          <c:tx>
            <c:strRef>
              <c:f>'بيانات الرسوم'!$B$2</c:f>
              <c:strCache>
                <c:ptCount val="1"/>
                <c:pt idx="0">
                  <c:v>العدد</c:v>
                </c:pt>
              </c:strCache>
            </c:strRef>
          </c:tx>
          <c:spPr>
            <a:solidFill>
              <a:srgbClr val="1B3A5C"/>
            </a:solidFill>
            <a:ln w="9360">
              <a:solidFill>
                <a:srgbClr val="F9F9F9"/>
              </a:solidFill>
              <a:round/>
            </a:ln>
          </c:spPr>
          <c:invertIfNegative val="0"/>
          <c:dPt>
            <c:idx val="0"/>
            <c:invertIfNegative val="0"/>
            <c:bubble3D val="0"/>
            <c:spPr>
              <a:solidFill>
                <a:srgbClr val="3F9873"/>
              </a:solidFill>
              <a:ln w="9360">
                <a:solidFill>
                  <a:srgbClr val="F9F9F9"/>
                </a:solidFill>
                <a:round/>
              </a:ln>
            </c:spPr>
            <c:extLst>
              <c:ext xmlns:c16="http://schemas.microsoft.com/office/drawing/2014/chart" uri="{C3380CC4-5D6E-409C-BE32-E72D297353CC}">
                <c16:uniqueId val="{00000001-996A-4E53-A92D-EA98E08E441D}"/>
              </c:ext>
            </c:extLst>
          </c:dPt>
          <c:dPt>
            <c:idx val="1"/>
            <c:invertIfNegative val="0"/>
            <c:bubble3D val="0"/>
            <c:spPr>
              <a:solidFill>
                <a:srgbClr val="B8935A"/>
              </a:solidFill>
              <a:ln w="9360">
                <a:solidFill>
                  <a:srgbClr val="F9F9F9"/>
                </a:solidFill>
                <a:round/>
              </a:ln>
            </c:spPr>
            <c:extLst>
              <c:ext xmlns:c16="http://schemas.microsoft.com/office/drawing/2014/chart" uri="{C3380CC4-5D6E-409C-BE32-E72D297353CC}">
                <c16:uniqueId val="{00000003-996A-4E53-A92D-EA98E08E441D}"/>
              </c:ext>
            </c:extLst>
          </c:dPt>
          <c:dPt>
            <c:idx val="2"/>
            <c:invertIfNegative val="0"/>
            <c:bubble3D val="0"/>
            <c:spPr>
              <a:solidFill>
                <a:srgbClr val="E0A526"/>
              </a:solidFill>
              <a:ln w="9360">
                <a:solidFill>
                  <a:srgbClr val="F9F9F9"/>
                </a:solidFill>
                <a:round/>
              </a:ln>
            </c:spPr>
            <c:extLst>
              <c:ext xmlns:c16="http://schemas.microsoft.com/office/drawing/2014/chart" uri="{C3380CC4-5D6E-409C-BE32-E72D297353CC}">
                <c16:uniqueId val="{00000005-996A-4E53-A92D-EA98E08E441D}"/>
              </c:ext>
            </c:extLst>
          </c:dPt>
          <c:dPt>
            <c:idx val="3"/>
            <c:invertIfNegative val="0"/>
            <c:bubble3D val="0"/>
            <c:spPr>
              <a:solidFill>
                <a:srgbClr val="C0392B"/>
              </a:solidFill>
              <a:ln w="9360">
                <a:solidFill>
                  <a:srgbClr val="F9F9F9"/>
                </a:solidFill>
                <a:round/>
              </a:ln>
            </c:spPr>
            <c:extLst>
              <c:ext xmlns:c16="http://schemas.microsoft.com/office/drawing/2014/chart" uri="{C3380CC4-5D6E-409C-BE32-E72D297353CC}">
                <c16:uniqueId val="{00000007-996A-4E53-A92D-EA98E08E441D}"/>
              </c:ext>
            </c:extLst>
          </c:dPt>
          <c:dLbls>
            <c:dLbl>
              <c:idx val="0"/>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1-996A-4E53-A92D-EA98E08E441D}"/>
                </c:ext>
              </c:extLst>
            </c:dLbl>
            <c:dLbl>
              <c:idx val="1"/>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3-996A-4E53-A92D-EA98E08E441D}"/>
                </c:ext>
              </c:extLst>
            </c:dLbl>
            <c:dLbl>
              <c:idx val="2"/>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5-996A-4E53-A92D-EA98E08E441D}"/>
                </c:ext>
              </c:extLst>
            </c:dLbl>
            <c:dLbl>
              <c:idx val="3"/>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7-996A-4E53-A92D-EA98E08E441D}"/>
                </c:ext>
              </c:extLst>
            </c:dLbl>
            <c:spPr>
              <a:noFill/>
              <a:ln>
                <a:noFill/>
              </a:ln>
              <a:effectLst/>
            </c:spPr>
            <c:txPr>
              <a:bodyPr wrap="none"/>
              <a:lstStyle/>
              <a:p>
                <a:pPr>
                  <a:defRPr sz="1000" b="0" strike="noStrike" spc="-1">
                    <a:latin typeface="Arial"/>
                  </a:defRPr>
                </a:pPr>
                <a:endParaRPr lang="ar-EG"/>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'بيانات الرسوم'!$A$3:$A$6</c:f>
              <c:strCache>
                <c:ptCount val="4"/>
                <c:pt idx="0">
                  <c:v>منخفض</c:v>
                </c:pt>
                <c:pt idx="1">
                  <c:v>متوسط</c:v>
                </c:pt>
                <c:pt idx="2">
                  <c:v>عالي</c:v>
                </c:pt>
                <c:pt idx="3">
                  <c:v>حرج</c:v>
                </c:pt>
              </c:strCache>
            </c:strRef>
          </c:cat>
          <c:val>
            <c:numRef>
              <c:f>'بيانات الرسوم'!$B$3:$B$6</c:f>
              <c:numCache>
                <c:formatCode>General</c:formatCode>
                <c:ptCount val="4"/>
                <c:pt idx="0">
                  <c:v>1</c:v>
                </c:pt>
                <c:pt idx="1">
                  <c:v>2</c:v>
                </c:pt>
                <c:pt idx="2">
                  <c:v>2</c:v>
                </c:pt>
                <c:pt idx="3">
                  <c:v>1</c:v>
                </c:pt>
              </c:numCache>
            </c:numRef>
          </c:val>
          <c:extLst>
            <c:ext xmlns:c16="http://schemas.microsoft.com/office/drawing/2014/chart" uri="{C3380CC4-5D6E-409C-BE32-E72D297353CC}">
              <c16:uniqueId val="{00000008-996A-4E53-A92D-EA98E08E441D}"/>
            </c:ext>
          </c:extLst>
        </c:ser>
        <c:dLbls>
          <c:showLegendKey val="0"/>
          <c:showVal val="0"/>
          <c:showCatName val="0"/>
          <c:showSerName val="0"/>
          <c:showPercent val="0"/>
          <c:showBubbleSize val="0"/>
        </c:dLbls>
        <c:gapWidth val="150"/>
        <c:axId val="14013233"/>
        <c:axId val="27035288"/>
      </c:barChart>
      <c:catAx>
        <c:axId val="14013233"/>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ar-EG"/>
          </a:p>
        </c:txPr>
        <c:crossAx val="27035288"/>
        <c:crosses val="autoZero"/>
        <c:auto val="1"/>
        <c:lblAlgn val="ctr"/>
        <c:lblOffset val="100"/>
        <c:noMultiLvlLbl val="0"/>
      </c:catAx>
      <c:valAx>
        <c:axId val="27035288"/>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ar-EG" sz="1000" b="1" strike="noStrike" spc="-1">
                    <a:solidFill>
                      <a:srgbClr val="000000"/>
                    </a:solidFill>
                    <a:latin typeface="Calibri"/>
                  </a:rPr>
                  <a:t>عدد المخاطر</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ar-EG"/>
          </a:p>
        </c:txPr>
        <c:crossAx val="14013233"/>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ar-EG" sz="1800" b="1" strike="noStrike" spc="-1">
                <a:solidFill>
                  <a:srgbClr val="000000"/>
                </a:solidFill>
                <a:latin typeface="Calibri"/>
              </a:rPr>
              <a:t>حالة الإجراءات التصحيحية</a:t>
            </a:r>
          </a:p>
        </c:rich>
      </c:tx>
      <c:overlay val="0"/>
      <c:spPr>
        <a:noFill/>
        <a:ln w="0">
          <a:noFill/>
        </a:ln>
      </c:spPr>
    </c:title>
    <c:autoTitleDeleted val="0"/>
    <c:plotArea>
      <c:layout/>
      <c:pieChart>
        <c:varyColors val="1"/>
        <c:ser>
          <c:idx val="0"/>
          <c:order val="0"/>
          <c:tx>
            <c:strRef>
              <c:f>'بيانات الرسوم'!$B$9</c:f>
              <c:strCache>
                <c:ptCount val="1"/>
                <c:pt idx="0">
                  <c:v>العدد</c:v>
                </c:pt>
              </c:strCache>
            </c:strRef>
          </c:tx>
          <c:spPr>
            <a:solidFill>
              <a:srgbClr val="4F81BD"/>
            </a:solidFill>
            <a:ln w="9360">
              <a:solidFill>
                <a:srgbClr val="F9F9F9"/>
              </a:solidFill>
              <a:round/>
            </a:ln>
          </c:spPr>
          <c:dPt>
            <c:idx val="0"/>
            <c:bubble3D val="0"/>
            <c:spPr>
              <a:solidFill>
                <a:srgbClr val="6E92B8"/>
              </a:solidFill>
              <a:ln w="9360">
                <a:solidFill>
                  <a:srgbClr val="F9F9F9"/>
                </a:solidFill>
                <a:round/>
              </a:ln>
            </c:spPr>
            <c:extLst>
              <c:ext xmlns:c16="http://schemas.microsoft.com/office/drawing/2014/chart" uri="{C3380CC4-5D6E-409C-BE32-E72D297353CC}">
                <c16:uniqueId val="{00000001-A4E3-4557-823D-02C7FE4FA472}"/>
              </c:ext>
            </c:extLst>
          </c:dPt>
          <c:dPt>
            <c:idx val="1"/>
            <c:bubble3D val="0"/>
            <c:spPr>
              <a:solidFill>
                <a:srgbClr val="E0A526"/>
              </a:solidFill>
              <a:ln w="9360">
                <a:solidFill>
                  <a:srgbClr val="F9F9F9"/>
                </a:solidFill>
                <a:round/>
              </a:ln>
            </c:spPr>
            <c:extLst>
              <c:ext xmlns:c16="http://schemas.microsoft.com/office/drawing/2014/chart" uri="{C3380CC4-5D6E-409C-BE32-E72D297353CC}">
                <c16:uniqueId val="{00000003-A4E3-4557-823D-02C7FE4FA472}"/>
              </c:ext>
            </c:extLst>
          </c:dPt>
          <c:dPt>
            <c:idx val="2"/>
            <c:bubble3D val="0"/>
            <c:spPr>
              <a:solidFill>
                <a:srgbClr val="3F9873"/>
              </a:solidFill>
              <a:ln w="9360">
                <a:solidFill>
                  <a:srgbClr val="F9F9F9"/>
                </a:solidFill>
                <a:round/>
              </a:ln>
            </c:spPr>
            <c:extLst>
              <c:ext xmlns:c16="http://schemas.microsoft.com/office/drawing/2014/chart" uri="{C3380CC4-5D6E-409C-BE32-E72D297353CC}">
                <c16:uniqueId val="{00000005-A4E3-4557-823D-02C7FE4FA472}"/>
              </c:ext>
            </c:extLst>
          </c:dPt>
          <c:dLbls>
            <c:dLbl>
              <c:idx val="0"/>
              <c:spPr/>
              <c:txPr>
                <a:bodyPr wrap="square"/>
                <a:lstStyle/>
                <a:p>
                  <a:pPr>
                    <a:defRPr sz="1000" b="0" strike="noStrike" spc="-1">
                      <a:solidFill>
                        <a:srgbClr val="000000"/>
                      </a:solidFill>
                      <a:latin typeface="Calibri"/>
                    </a:defRPr>
                  </a:pPr>
                  <a:endParaRPr lang="ar-EG"/>
                </a:p>
              </c:txPr>
              <c:dLblPos val="bestFit"/>
              <c:showLegendKey val="0"/>
              <c:showVal val="1"/>
              <c:showCatName val="0"/>
              <c:showSerName val="1"/>
              <c:showPercent val="0"/>
              <c:showBubbleSize val="1"/>
              <c:extLst>
                <c:ext xmlns:c16="http://schemas.microsoft.com/office/drawing/2014/chart" uri="{C3380CC4-5D6E-409C-BE32-E72D297353CC}">
                  <c16:uniqueId val="{00000001-A4E3-4557-823D-02C7FE4FA472}"/>
                </c:ext>
              </c:extLst>
            </c:dLbl>
            <c:dLbl>
              <c:idx val="1"/>
              <c:spPr/>
              <c:txPr>
                <a:bodyPr wrap="square"/>
                <a:lstStyle/>
                <a:p>
                  <a:pPr>
                    <a:defRPr sz="1000" b="0" strike="noStrike" spc="-1">
                      <a:solidFill>
                        <a:srgbClr val="000000"/>
                      </a:solidFill>
                      <a:latin typeface="Calibri"/>
                    </a:defRPr>
                  </a:pPr>
                  <a:endParaRPr lang="ar-EG"/>
                </a:p>
              </c:txPr>
              <c:dLblPos val="bestFit"/>
              <c:showLegendKey val="0"/>
              <c:showVal val="1"/>
              <c:showCatName val="0"/>
              <c:showSerName val="1"/>
              <c:showPercent val="0"/>
              <c:showBubbleSize val="1"/>
              <c:extLst>
                <c:ext xmlns:c16="http://schemas.microsoft.com/office/drawing/2014/chart" uri="{C3380CC4-5D6E-409C-BE32-E72D297353CC}">
                  <c16:uniqueId val="{00000003-A4E3-4557-823D-02C7FE4FA472}"/>
                </c:ext>
              </c:extLst>
            </c:dLbl>
            <c:dLbl>
              <c:idx val="2"/>
              <c:spPr/>
              <c:txPr>
                <a:bodyPr wrap="square"/>
                <a:lstStyle/>
                <a:p>
                  <a:pPr>
                    <a:defRPr sz="1000" b="0" strike="noStrike" spc="-1">
                      <a:solidFill>
                        <a:srgbClr val="000000"/>
                      </a:solidFill>
                      <a:latin typeface="Calibri"/>
                    </a:defRPr>
                  </a:pPr>
                  <a:endParaRPr lang="ar-EG"/>
                </a:p>
              </c:txPr>
              <c:dLblPos val="bestFit"/>
              <c:showLegendKey val="0"/>
              <c:showVal val="1"/>
              <c:showCatName val="0"/>
              <c:showSerName val="1"/>
              <c:showPercent val="0"/>
              <c:showBubbleSize val="1"/>
              <c:extLst>
                <c:ext xmlns:c16="http://schemas.microsoft.com/office/drawing/2014/chart" uri="{C3380CC4-5D6E-409C-BE32-E72D297353CC}">
                  <c16:uniqueId val="{00000005-A4E3-4557-823D-02C7FE4FA472}"/>
                </c:ext>
              </c:extLst>
            </c:dLbl>
            <c:spPr>
              <a:noFill/>
              <a:ln>
                <a:noFill/>
              </a:ln>
              <a:effectLst/>
            </c:spPr>
            <c:txPr>
              <a:bodyPr wrap="square"/>
              <a:lstStyle/>
              <a:p>
                <a:pPr>
                  <a:defRPr sz="1000" b="0" strike="noStrike" spc="-1">
                    <a:solidFill>
                      <a:srgbClr val="000000"/>
                    </a:solidFill>
                    <a:latin typeface="Calibri"/>
                  </a:defRPr>
                </a:pPr>
                <a:endParaRPr lang="ar-EG"/>
              </a:p>
            </c:txPr>
            <c:dLblPos val="bestFit"/>
            <c:showLegendKey val="0"/>
            <c:showVal val="1"/>
            <c:showCatName val="0"/>
            <c:showSerName val="1"/>
            <c:showPercent val="0"/>
            <c:showBubbleSize val="1"/>
            <c:separator>; </c:separator>
            <c:showLeaderLines val="1"/>
            <c:extLst>
              <c:ext xmlns:c15="http://schemas.microsoft.com/office/drawing/2012/chart" uri="{CE6537A1-D6FC-4f65-9D91-7224C49458BB}"/>
            </c:extLst>
          </c:dLbls>
          <c:cat>
            <c:strRef>
              <c:f>'بيانات الرسوم'!$A$10:$A$12</c:f>
              <c:strCache>
                <c:ptCount val="3"/>
                <c:pt idx="0">
                  <c:v>مفتوح</c:v>
                </c:pt>
                <c:pt idx="1">
                  <c:v>قيد التنفيذ</c:v>
                </c:pt>
                <c:pt idx="2">
                  <c:v>مكتمل</c:v>
                </c:pt>
              </c:strCache>
            </c:strRef>
          </c:cat>
          <c:val>
            <c:numRef>
              <c:f>'بيانات الرسوم'!$B$10:$B$12</c:f>
              <c:numCache>
                <c:formatCode>General</c:formatCode>
                <c:ptCount val="3"/>
                <c:pt idx="0">
                  <c:v>3</c:v>
                </c:pt>
                <c:pt idx="1">
                  <c:v>2</c:v>
                </c:pt>
                <c:pt idx="2">
                  <c:v>1</c:v>
                </c:pt>
              </c:numCache>
            </c:numRef>
          </c:val>
          <c:extLst>
            <c:ext xmlns:c16="http://schemas.microsoft.com/office/drawing/2014/chart" uri="{C3380CC4-5D6E-409C-BE32-E72D297353CC}">
              <c16:uniqueId val="{00000006-A4E3-4557-823D-02C7FE4FA472}"/>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ar-EG"/>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ar-EG" sz="1800" b="1" strike="noStrike" spc="-1">
                <a:solidFill>
                  <a:srgbClr val="000000"/>
                </a:solidFill>
                <a:latin typeface="Calibri"/>
              </a:rPr>
              <a:t>حالة مؤشرات المخاطر (</a:t>
            </a:r>
            <a:r>
              <a:rPr lang="en-US" sz="1800" b="1" strike="noStrike" spc="-1">
                <a:solidFill>
                  <a:srgbClr val="000000"/>
                </a:solidFill>
                <a:latin typeface="Calibri"/>
              </a:rPr>
              <a:t>RAG)</a:t>
            </a:r>
          </a:p>
        </c:rich>
      </c:tx>
      <c:overlay val="0"/>
      <c:spPr>
        <a:noFill/>
        <a:ln w="0">
          <a:noFill/>
        </a:ln>
      </c:spPr>
    </c:title>
    <c:autoTitleDeleted val="0"/>
    <c:plotArea>
      <c:layout/>
      <c:barChart>
        <c:barDir val="col"/>
        <c:grouping val="clustered"/>
        <c:varyColors val="0"/>
        <c:ser>
          <c:idx val="0"/>
          <c:order val="0"/>
          <c:tx>
            <c:strRef>
              <c:f>'بيانات الرسوم'!$B$15</c:f>
              <c:strCache>
                <c:ptCount val="1"/>
                <c:pt idx="0">
                  <c:v>العدد</c:v>
                </c:pt>
              </c:strCache>
            </c:strRef>
          </c:tx>
          <c:spPr>
            <a:solidFill>
              <a:srgbClr val="4F81BD"/>
            </a:solidFill>
            <a:ln w="9360">
              <a:solidFill>
                <a:srgbClr val="F9F9F9"/>
              </a:solidFill>
              <a:round/>
            </a:ln>
          </c:spPr>
          <c:invertIfNegative val="0"/>
          <c:dPt>
            <c:idx val="0"/>
            <c:invertIfNegative val="0"/>
            <c:bubble3D val="0"/>
            <c:spPr>
              <a:solidFill>
                <a:srgbClr val="3F9873"/>
              </a:solidFill>
              <a:ln w="9360">
                <a:solidFill>
                  <a:srgbClr val="F9F9F9"/>
                </a:solidFill>
                <a:round/>
              </a:ln>
            </c:spPr>
            <c:extLst>
              <c:ext xmlns:c16="http://schemas.microsoft.com/office/drawing/2014/chart" uri="{C3380CC4-5D6E-409C-BE32-E72D297353CC}">
                <c16:uniqueId val="{00000001-F1CF-4514-9F08-C1F85D86179E}"/>
              </c:ext>
            </c:extLst>
          </c:dPt>
          <c:dPt>
            <c:idx val="1"/>
            <c:invertIfNegative val="0"/>
            <c:bubble3D val="0"/>
            <c:spPr>
              <a:solidFill>
                <a:srgbClr val="E0A526"/>
              </a:solidFill>
              <a:ln w="9360">
                <a:solidFill>
                  <a:srgbClr val="F9F9F9"/>
                </a:solidFill>
                <a:round/>
              </a:ln>
            </c:spPr>
            <c:extLst>
              <c:ext xmlns:c16="http://schemas.microsoft.com/office/drawing/2014/chart" uri="{C3380CC4-5D6E-409C-BE32-E72D297353CC}">
                <c16:uniqueId val="{00000003-F1CF-4514-9F08-C1F85D86179E}"/>
              </c:ext>
            </c:extLst>
          </c:dPt>
          <c:dPt>
            <c:idx val="2"/>
            <c:invertIfNegative val="0"/>
            <c:bubble3D val="0"/>
            <c:spPr>
              <a:solidFill>
                <a:srgbClr val="C0392B"/>
              </a:solidFill>
              <a:ln w="9360">
                <a:solidFill>
                  <a:srgbClr val="F9F9F9"/>
                </a:solidFill>
                <a:round/>
              </a:ln>
            </c:spPr>
            <c:extLst>
              <c:ext xmlns:c16="http://schemas.microsoft.com/office/drawing/2014/chart" uri="{C3380CC4-5D6E-409C-BE32-E72D297353CC}">
                <c16:uniqueId val="{00000005-F1CF-4514-9F08-C1F85D86179E}"/>
              </c:ext>
            </c:extLst>
          </c:dPt>
          <c:dLbls>
            <c:dLbl>
              <c:idx val="0"/>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1-F1CF-4514-9F08-C1F85D86179E}"/>
                </c:ext>
              </c:extLst>
            </c:dLbl>
            <c:dLbl>
              <c:idx val="1"/>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3-F1CF-4514-9F08-C1F85D86179E}"/>
                </c:ext>
              </c:extLst>
            </c:dLbl>
            <c:dLbl>
              <c:idx val="2"/>
              <c:spPr/>
              <c:txPr>
                <a:bodyPr wrap="none"/>
                <a:lstStyle/>
                <a:p>
                  <a:pPr>
                    <a:defRPr sz="1000" b="0" strike="noStrike" spc="-1">
                      <a:latin typeface="Arial"/>
                    </a:defRPr>
                  </a:pPr>
                  <a:endParaRPr lang="ar-EG"/>
                </a:p>
              </c:txPr>
              <c:showLegendKey val="0"/>
              <c:showVal val="0"/>
              <c:showCatName val="0"/>
              <c:showSerName val="0"/>
              <c:showPercent val="0"/>
              <c:showBubbleSize val="1"/>
              <c:extLst>
                <c:ext xmlns:c16="http://schemas.microsoft.com/office/drawing/2014/chart" uri="{C3380CC4-5D6E-409C-BE32-E72D297353CC}">
                  <c16:uniqueId val="{00000005-F1CF-4514-9F08-C1F85D86179E}"/>
                </c:ext>
              </c:extLst>
            </c:dLbl>
            <c:spPr>
              <a:noFill/>
              <a:ln>
                <a:noFill/>
              </a:ln>
              <a:effectLst/>
            </c:spPr>
            <c:txPr>
              <a:bodyPr wrap="none"/>
              <a:lstStyle/>
              <a:p>
                <a:pPr>
                  <a:defRPr sz="1000" b="0" strike="noStrike" spc="-1">
                    <a:latin typeface="Arial"/>
                  </a:defRPr>
                </a:pPr>
                <a:endParaRPr lang="ar-EG"/>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'بيانات الرسوم'!$A$16:$A$18</c:f>
              <c:strCache>
                <c:ptCount val="3"/>
                <c:pt idx="0">
                  <c:v>أخضر</c:v>
                </c:pt>
                <c:pt idx="1">
                  <c:v>أصفر</c:v>
                </c:pt>
                <c:pt idx="2">
                  <c:v>أحمر</c:v>
                </c:pt>
              </c:strCache>
            </c:strRef>
          </c:cat>
          <c:val>
            <c:numRef>
              <c:f>'بيانات الرسوم'!$B$16:$B$18</c:f>
              <c:numCache>
                <c:formatCode>General</c:formatCode>
                <c:ptCount val="3"/>
                <c:pt idx="0">
                  <c:v>2</c:v>
                </c:pt>
                <c:pt idx="1">
                  <c:v>2</c:v>
                </c:pt>
                <c:pt idx="2">
                  <c:v>2</c:v>
                </c:pt>
              </c:numCache>
            </c:numRef>
          </c:val>
          <c:extLst>
            <c:ext xmlns:c16="http://schemas.microsoft.com/office/drawing/2014/chart" uri="{C3380CC4-5D6E-409C-BE32-E72D297353CC}">
              <c16:uniqueId val="{00000006-F1CF-4514-9F08-C1F85D86179E}"/>
            </c:ext>
          </c:extLst>
        </c:ser>
        <c:dLbls>
          <c:showLegendKey val="0"/>
          <c:showVal val="0"/>
          <c:showCatName val="0"/>
          <c:showSerName val="0"/>
          <c:showPercent val="0"/>
          <c:showBubbleSize val="0"/>
        </c:dLbls>
        <c:gapWidth val="150"/>
        <c:axId val="40927726"/>
        <c:axId val="22163779"/>
      </c:barChart>
      <c:catAx>
        <c:axId val="4092772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ar-EG"/>
          </a:p>
        </c:txPr>
        <c:crossAx val="22163779"/>
        <c:crosses val="autoZero"/>
        <c:auto val="1"/>
        <c:lblAlgn val="ctr"/>
        <c:lblOffset val="100"/>
        <c:noMultiLvlLbl val="0"/>
      </c:catAx>
      <c:valAx>
        <c:axId val="22163779"/>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ar-EG" sz="1000" b="1" strike="noStrike" spc="-1">
                    <a:solidFill>
                      <a:srgbClr val="000000"/>
                    </a:solidFill>
                    <a:latin typeface="Calibri"/>
                  </a:rPr>
                  <a:t>عدد المؤشرات</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ar-EG"/>
          </a:p>
        </c:txPr>
        <c:crossAx val="40927726"/>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977350</xdr:colOff>
      <xdr:row>3</xdr:row>
      <xdr:rowOff>133350</xdr:rowOff>
    </xdr:from>
    <xdr:to>
      <xdr:col>5</xdr:col>
      <xdr:colOff>501650</xdr:colOff>
      <xdr:row>10</xdr:row>
      <xdr:rowOff>66390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880485700" y="685800"/>
          <a:ext cx="2458000" cy="16475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211666</xdr:colOff>
      <xdr:row>15</xdr:row>
      <xdr:rowOff>0</xdr:rowOff>
    </xdr:from>
    <xdr:to>
      <xdr:col>4</xdr:col>
      <xdr:colOff>310444</xdr:colOff>
      <xdr:row>29</xdr:row>
      <xdr:rowOff>32400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345722</xdr:colOff>
      <xdr:row>15</xdr:row>
      <xdr:rowOff>42333</xdr:rowOff>
    </xdr:from>
    <xdr:to>
      <xdr:col>7</xdr:col>
      <xdr:colOff>642056</xdr:colOff>
      <xdr:row>29</xdr:row>
      <xdr:rowOff>74733</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656168</xdr:colOff>
      <xdr:row>15</xdr:row>
      <xdr:rowOff>70556</xdr:rowOff>
    </xdr:from>
    <xdr:to>
      <xdr:col>10</xdr:col>
      <xdr:colOff>982985</xdr:colOff>
      <xdr:row>29</xdr:row>
      <xdr:rowOff>102956</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127000</xdr:colOff>
      <xdr:row>1</xdr:row>
      <xdr:rowOff>49389</xdr:rowOff>
    </xdr:from>
    <xdr:to>
      <xdr:col>10</xdr:col>
      <xdr:colOff>412480</xdr:colOff>
      <xdr:row>1</xdr:row>
      <xdr:rowOff>385767</xdr:rowOff>
    </xdr:to>
    <xdr:pic>
      <xdr:nvPicPr>
        <xdr:cNvPr id="5" name="Image 4" descr="Picture">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4"/>
        <a:stretch/>
      </xdr:blipFill>
      <xdr:spPr>
        <a:xfrm>
          <a:off x="9935016242" y="148167"/>
          <a:ext cx="285480" cy="336378"/>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showGridLines="0" rightToLeft="1" zoomScaleNormal="100" workbookViewId="0">
      <selection activeCell="P14" sqref="P14"/>
    </sheetView>
  </sheetViews>
  <sheetFormatPr defaultColWidth="8.6328125" defaultRowHeight="14.5"/>
  <cols>
    <col min="1" max="1" width="3" customWidth="1"/>
    <col min="2" max="7" width="14" customWidth="1"/>
    <col min="8" max="8" width="13.26953125" customWidth="1"/>
  </cols>
  <sheetData>
    <row r="1" spans="1:8">
      <c r="A1" s="15"/>
      <c r="B1" s="15"/>
      <c r="C1" s="15"/>
      <c r="D1" s="15"/>
      <c r="E1" s="15"/>
      <c r="F1" s="15"/>
      <c r="G1" s="15"/>
      <c r="H1" s="15"/>
    </row>
    <row r="2" spans="1:8">
      <c r="A2" s="15"/>
      <c r="B2" s="4" t="s">
        <v>0</v>
      </c>
      <c r="C2" s="4"/>
      <c r="D2" s="4"/>
      <c r="E2" s="4"/>
      <c r="F2" s="4"/>
      <c r="G2" s="4"/>
      <c r="H2" s="15"/>
    </row>
    <row r="3" spans="1:8">
      <c r="A3" s="15"/>
      <c r="B3" s="4"/>
      <c r="C3" s="4"/>
      <c r="D3" s="4"/>
      <c r="E3" s="4"/>
      <c r="F3" s="4"/>
      <c r="G3" s="4"/>
      <c r="H3" s="15"/>
    </row>
    <row r="4" spans="1:8" ht="18" customHeight="1"/>
    <row r="5" spans="1:8" ht="19.5" customHeight="1"/>
    <row r="6" spans="1:8" ht="19.5" customHeight="1"/>
    <row r="7" spans="1:8" ht="19.5" customHeight="1"/>
    <row r="8" spans="1:8" ht="19.5" customHeight="1"/>
    <row r="9" spans="1:8" ht="19.5" customHeight="1"/>
    <row r="10" spans="1:8" ht="19.5" customHeight="1"/>
    <row r="12" spans="1:8" ht="28">
      <c r="B12" s="3" t="s">
        <v>1</v>
      </c>
      <c r="C12" s="3"/>
      <c r="D12" s="3"/>
      <c r="E12" s="3"/>
      <c r="F12" s="3"/>
      <c r="G12" s="3"/>
    </row>
    <row r="13" spans="1:8" ht="20">
      <c r="B13" s="2" t="s">
        <v>2</v>
      </c>
      <c r="C13" s="2"/>
      <c r="D13" s="2"/>
      <c r="E13" s="2"/>
      <c r="F13" s="2"/>
      <c r="G13" s="2"/>
    </row>
    <row r="15" spans="1:8" ht="19.5" customHeight="1">
      <c r="B15" s="1" t="s">
        <v>3</v>
      </c>
      <c r="C15" s="1"/>
      <c r="D15" s="1"/>
      <c r="E15" s="1"/>
      <c r="F15" s="1"/>
      <c r="G15" s="1"/>
    </row>
    <row r="16" spans="1:8" ht="19.5" customHeight="1">
      <c r="B16" s="1"/>
      <c r="C16" s="1"/>
      <c r="D16" s="1"/>
      <c r="E16" s="1"/>
      <c r="F16" s="1"/>
      <c r="G16" s="1"/>
    </row>
    <row r="17" spans="1:8" ht="19.5" customHeight="1">
      <c r="B17" s="1"/>
      <c r="C17" s="1"/>
      <c r="D17" s="1"/>
      <c r="E17" s="1"/>
      <c r="F17" s="1"/>
      <c r="G17" s="1"/>
    </row>
    <row r="18" spans="1:8" ht="19.5" customHeight="1">
      <c r="B18" s="1"/>
      <c r="C18" s="1"/>
      <c r="D18" s="1"/>
      <c r="E18" s="1"/>
      <c r="F18" s="1"/>
      <c r="G18" s="1"/>
    </row>
    <row r="19" spans="1:8" ht="30" customHeight="1">
      <c r="B19" s="16" t="s">
        <v>4</v>
      </c>
      <c r="C19" s="17" t="s">
        <v>5</v>
      </c>
      <c r="D19" s="16" t="s">
        <v>6</v>
      </c>
      <c r="E19" s="17" t="s">
        <v>7</v>
      </c>
      <c r="F19" s="16" t="s">
        <v>8</v>
      </c>
      <c r="G19" s="17" t="s">
        <v>9</v>
      </c>
      <c r="H19" s="16" t="s">
        <v>10</v>
      </c>
    </row>
    <row r="20" spans="1:8">
      <c r="B20" s="43" t="s">
        <v>11</v>
      </c>
      <c r="C20" s="43"/>
      <c r="D20" s="43"/>
      <c r="E20" s="43"/>
      <c r="F20" s="43"/>
      <c r="G20" s="43"/>
      <c r="H20" s="43"/>
    </row>
    <row r="23" spans="1:8">
      <c r="B23" s="44" t="s">
        <v>12</v>
      </c>
      <c r="C23" s="44"/>
      <c r="D23" s="44"/>
      <c r="E23" s="44"/>
      <c r="F23" s="44"/>
      <c r="G23" s="44"/>
    </row>
    <row r="24" spans="1:8">
      <c r="B24" s="45" t="s">
        <v>13</v>
      </c>
      <c r="C24" s="45"/>
      <c r="D24" s="45"/>
      <c r="E24" s="45"/>
      <c r="F24" s="45"/>
      <c r="G24" s="45"/>
    </row>
    <row r="27" spans="1:8">
      <c r="B27" s="46" t="s">
        <v>14</v>
      </c>
      <c r="C27" s="46"/>
      <c r="D27" s="46"/>
      <c r="E27" s="46"/>
      <c r="F27" s="46"/>
      <c r="G27" s="46"/>
    </row>
    <row r="28" spans="1:8">
      <c r="A28" s="15"/>
      <c r="B28" s="15"/>
      <c r="C28" s="15"/>
      <c r="D28" s="15"/>
      <c r="E28" s="15"/>
      <c r="F28" s="15"/>
      <c r="G28" s="15"/>
      <c r="H28" s="15"/>
    </row>
    <row r="29" spans="1:8">
      <c r="A29" s="15"/>
      <c r="B29" s="47" t="s">
        <v>15</v>
      </c>
      <c r="C29" s="47"/>
      <c r="D29" s="47"/>
      <c r="E29" s="47"/>
      <c r="F29" s="47"/>
      <c r="G29" s="47"/>
      <c r="H29" s="15"/>
    </row>
    <row r="30" spans="1:8">
      <c r="A30" s="15"/>
      <c r="B30" s="15"/>
      <c r="C30" s="15"/>
      <c r="D30" s="15"/>
      <c r="E30" s="15"/>
      <c r="F30" s="15"/>
      <c r="G30" s="15"/>
      <c r="H30" s="15"/>
    </row>
  </sheetData>
  <mergeCells count="9">
    <mergeCell ref="B23:G23"/>
    <mergeCell ref="B24:G24"/>
    <mergeCell ref="B27:G27"/>
    <mergeCell ref="B29:G29"/>
    <mergeCell ref="B2:G3"/>
    <mergeCell ref="B12:G12"/>
    <mergeCell ref="B13:G13"/>
    <mergeCell ref="B15:G18"/>
    <mergeCell ref="B20:H20"/>
  </mergeCells>
  <pageMargins left="0.3" right="0.3" top="0.4" bottom="0.4" header="0.511811023622047" footer="0.511811023622047"/>
  <pageSetup fitToHeight="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8"/>
  <sheetViews>
    <sheetView rightToLeft="1" zoomScaleNormal="100" workbookViewId="0"/>
  </sheetViews>
  <sheetFormatPr defaultColWidth="8.6328125" defaultRowHeight="14.5"/>
  <cols>
    <col min="1" max="1" width="20" customWidth="1"/>
    <col min="2" max="2" width="12" customWidth="1"/>
  </cols>
  <sheetData>
    <row r="1" spans="1:2">
      <c r="A1" s="32" t="s">
        <v>230</v>
      </c>
    </row>
    <row r="2" spans="1:2">
      <c r="A2" s="33" t="s">
        <v>57</v>
      </c>
      <c r="B2" s="33" t="s">
        <v>231</v>
      </c>
    </row>
    <row r="3" spans="1:2">
      <c r="A3" s="34" t="s">
        <v>232</v>
      </c>
      <c r="B3">
        <f>COUNTIF('سجل المخاطر'!$J$3:$J$32,"منخفض")</f>
        <v>1</v>
      </c>
    </row>
    <row r="4" spans="1:2">
      <c r="A4" s="34" t="s">
        <v>233</v>
      </c>
      <c r="B4">
        <f>COUNTIF('سجل المخاطر'!$J$3:$J$32,"متوسط")</f>
        <v>2</v>
      </c>
    </row>
    <row r="5" spans="1:2">
      <c r="A5" s="34" t="s">
        <v>234</v>
      </c>
      <c r="B5">
        <f>COUNTIF('سجل المخاطر'!$J$3:$J$32,"عالي")</f>
        <v>2</v>
      </c>
    </row>
    <row r="6" spans="1:2">
      <c r="A6" s="34" t="s">
        <v>235</v>
      </c>
      <c r="B6">
        <f>COUNTIF('سجل المخاطر'!$J$3:$J$32,"حرج")</f>
        <v>1</v>
      </c>
    </row>
    <row r="8" spans="1:2">
      <c r="A8" s="32" t="s">
        <v>236</v>
      </c>
    </row>
    <row r="9" spans="1:2">
      <c r="A9" s="33" t="s">
        <v>57</v>
      </c>
      <c r="B9" s="33" t="s">
        <v>231</v>
      </c>
    </row>
    <row r="10" spans="1:2">
      <c r="A10" s="34" t="s">
        <v>99</v>
      </c>
      <c r="B10">
        <f>COUNTIF('الإجراءات التصحيحية'!$G$3:$G$32,"مفتوح")</f>
        <v>3</v>
      </c>
    </row>
    <row r="11" spans="1:2">
      <c r="A11" s="34" t="s">
        <v>198</v>
      </c>
      <c r="B11">
        <f>COUNTIF('الإجراءات التصحيحية'!$G$3:$G$32,"قيد التنفيذ")</f>
        <v>2</v>
      </c>
    </row>
    <row r="12" spans="1:2">
      <c r="A12" s="34" t="s">
        <v>203</v>
      </c>
      <c r="B12">
        <f>COUNTIF('الإجراءات التصحيحية'!$G$3:$G$32,"مكتمل")</f>
        <v>1</v>
      </c>
    </row>
    <row r="14" spans="1:2">
      <c r="A14" s="32" t="s">
        <v>237</v>
      </c>
    </row>
    <row r="15" spans="1:2">
      <c r="A15" s="33" t="s">
        <v>57</v>
      </c>
      <c r="B15" s="33" t="s">
        <v>231</v>
      </c>
    </row>
    <row r="16" spans="1:2">
      <c r="A16" s="34" t="s">
        <v>238</v>
      </c>
      <c r="B16">
        <f>COUNTIF('مؤشرات المخاطر'!$H$3:$H$32,"أخضر")</f>
        <v>2</v>
      </c>
    </row>
    <row r="17" spans="1:2">
      <c r="A17" s="34" t="s">
        <v>239</v>
      </c>
      <c r="B17">
        <f>COUNTIF('مؤشرات المخاطر'!$H$3:$H$32,"أصفر")</f>
        <v>2</v>
      </c>
    </row>
    <row r="18" spans="1:2">
      <c r="A18" s="34" t="s">
        <v>240</v>
      </c>
      <c r="B18">
        <f>COUNTIF('مؤشرات المخاطر'!$H$3:$H$32,"أحمر")</f>
        <v>2</v>
      </c>
    </row>
  </sheetData>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32"/>
  <sheetViews>
    <sheetView showGridLines="0" rightToLeft="1" zoomScaleNormal="100" workbookViewId="0">
      <selection activeCell="R14" sqref="R14"/>
    </sheetView>
  </sheetViews>
  <sheetFormatPr defaultColWidth="8.6328125" defaultRowHeight="14.5"/>
  <cols>
    <col min="1" max="1" width="3" customWidth="1"/>
    <col min="2" max="11" width="15" customWidth="1"/>
    <col min="12" max="12" width="3" customWidth="1"/>
  </cols>
  <sheetData>
    <row r="1" spans="1:12" ht="7.5" customHeight="1">
      <c r="A1" s="15"/>
      <c r="B1" s="15"/>
      <c r="C1" s="15"/>
      <c r="D1" s="15"/>
      <c r="E1" s="15"/>
      <c r="F1" s="15"/>
      <c r="G1" s="15"/>
      <c r="H1" s="15"/>
      <c r="I1" s="15"/>
      <c r="J1" s="15"/>
      <c r="K1" s="15"/>
      <c r="L1" s="15"/>
    </row>
    <row r="2" spans="1:12" ht="33.75" customHeight="1">
      <c r="A2" s="15"/>
      <c r="B2" s="14" t="s">
        <v>241</v>
      </c>
      <c r="C2" s="14"/>
      <c r="D2" s="14"/>
      <c r="E2" s="14"/>
      <c r="F2" s="14"/>
      <c r="G2" s="14"/>
      <c r="H2" s="14"/>
      <c r="I2" s="13" t="s">
        <v>242</v>
      </c>
      <c r="J2" s="13"/>
      <c r="K2" s="13"/>
      <c r="L2" s="15"/>
    </row>
    <row r="3" spans="1:12" ht="6" customHeight="1"/>
    <row r="4" spans="1:12" ht="19.5" customHeight="1">
      <c r="B4" s="12" t="s">
        <v>243</v>
      </c>
      <c r="C4" s="12"/>
      <c r="D4" s="12" t="s">
        <v>244</v>
      </c>
      <c r="E4" s="12"/>
      <c r="F4" s="12" t="s">
        <v>245</v>
      </c>
      <c r="G4" s="12"/>
      <c r="H4" s="12" t="s">
        <v>246</v>
      </c>
      <c r="I4" s="12"/>
      <c r="J4" s="12" t="s">
        <v>247</v>
      </c>
      <c r="K4" s="12"/>
    </row>
    <row r="5" spans="1:12" ht="33.75" customHeight="1">
      <c r="B5" s="11">
        <f>COUNTIF('مؤشرات المخاطر'!$H$3:$H$32,"أحمر")</f>
        <v>2</v>
      </c>
      <c r="C5" s="11"/>
      <c r="D5" s="11">
        <f ca="1">COUNTIF('الإجراءات التصحيحية'!$I$3:$I$32,"متأخر")</f>
        <v>2</v>
      </c>
      <c r="E5" s="11"/>
      <c r="F5" s="10">
        <f>IFERROR(AVERAGE('سجل المخاطر'!$I$3:$I$32),0)</f>
        <v>9.1666666666666661</v>
      </c>
      <c r="G5" s="10"/>
      <c r="H5" s="11">
        <f>COUNTIF('سجل المخاطر'!$J$3:$J$32,"حرج")</f>
        <v>1</v>
      </c>
      <c r="I5" s="11"/>
      <c r="J5" s="9">
        <f>COUNTA('سجل المخاطر'!$D$3:$D$32)</f>
        <v>6</v>
      </c>
      <c r="K5" s="9"/>
    </row>
    <row r="6" spans="1:12" ht="6" customHeight="1"/>
    <row r="7" spans="1:12" ht="24" customHeight="1">
      <c r="B7" s="8" t="s">
        <v>248</v>
      </c>
      <c r="C7" s="8"/>
      <c r="D7" s="8"/>
      <c r="E7" s="8"/>
      <c r="H7" s="8" t="s">
        <v>249</v>
      </c>
      <c r="I7" s="8"/>
      <c r="J7" s="8"/>
      <c r="K7" s="8"/>
    </row>
    <row r="8" spans="1:12" ht="21.75" customHeight="1">
      <c r="B8" s="35" t="s">
        <v>250</v>
      </c>
      <c r="C8" s="36" t="s">
        <v>251</v>
      </c>
      <c r="D8" s="36" t="s">
        <v>252</v>
      </c>
      <c r="E8" s="36" t="s">
        <v>253</v>
      </c>
      <c r="F8" s="36" t="s">
        <v>254</v>
      </c>
      <c r="G8" s="36" t="s">
        <v>255</v>
      </c>
      <c r="H8" s="37" t="s">
        <v>256</v>
      </c>
      <c r="I8" s="7" t="s">
        <v>83</v>
      </c>
      <c r="J8" s="7"/>
      <c r="K8" s="37" t="s">
        <v>257</v>
      </c>
    </row>
    <row r="9" spans="1:12" ht="24" customHeight="1">
      <c r="B9" s="36" t="s">
        <v>258</v>
      </c>
      <c r="C9" s="22">
        <f>COUNTIFS('سجل المخاطر'!$G$3:$G$32,5,'سجل المخاطر'!$H$3:$H$32,1)</f>
        <v>0</v>
      </c>
      <c r="D9" s="38">
        <f>COUNTIFS('سجل المخاطر'!$G$3:$G$32,5,'سجل المخاطر'!$H$3:$H$32,2)</f>
        <v>0</v>
      </c>
      <c r="E9" s="39">
        <f>COUNTIFS('سجل المخاطر'!$G$3:$G$32,5,'سجل المخاطر'!$H$3:$H$32,3)</f>
        <v>0</v>
      </c>
      <c r="F9" s="39">
        <f>COUNTIFS('سجل المخاطر'!$G$3:$G$32,5,'سجل المخاطر'!$H$3:$H$32,4)</f>
        <v>0</v>
      </c>
      <c r="G9" s="39">
        <f>COUNTIFS('سجل المخاطر'!$G$3:$G$32,5,'سجل المخاطر'!$H$3:$H$32,5)</f>
        <v>0</v>
      </c>
      <c r="H9" s="40">
        <v>1</v>
      </c>
      <c r="I9" s="6" t="str">
        <f>IFERROR(INDEX('سجل المخاطر'!$D$3:$D$32,MATCH(LARGE('سجل المخاطر'!$I$3:$I$32,1),'سجل المخاطر'!$I$3:$I$32,0)),"")</f>
        <v>اختراق سيبراني يؤدي إلى توقف تشغيلي للمنصة</v>
      </c>
      <c r="J9" s="6"/>
      <c r="K9" s="41">
        <f>IFERROR(LARGE('سجل المخاطر'!$I$3:$I$32,1),"")</f>
        <v>20</v>
      </c>
    </row>
    <row r="10" spans="1:12" ht="24" customHeight="1">
      <c r="B10" s="36" t="s">
        <v>259</v>
      </c>
      <c r="C10" s="22">
        <f>COUNTIFS('سجل المخاطر'!$G$3:$G$32,4,'سجل المخاطر'!$H$3:$H$32,1)</f>
        <v>0</v>
      </c>
      <c r="D10" s="22">
        <f>COUNTIFS('سجل المخاطر'!$G$3:$G$32,4,'سجل المخاطر'!$H$3:$H$32,2)</f>
        <v>1</v>
      </c>
      <c r="E10" s="38">
        <f>COUNTIFS('سجل المخاطر'!$G$3:$G$32,4,'سجل المخاطر'!$H$3:$H$32,3)</f>
        <v>0</v>
      </c>
      <c r="F10" s="39">
        <f>COUNTIFS('سجل المخاطر'!$G$3:$G$32,4,'سجل المخاطر'!$H$3:$H$32,4)</f>
        <v>0</v>
      </c>
      <c r="G10" s="39">
        <f>COUNTIFS('سجل المخاطر'!$G$3:$G$32,4,'سجل المخاطر'!$H$3:$H$32,5)</f>
        <v>1</v>
      </c>
      <c r="H10" s="40">
        <v>2</v>
      </c>
      <c r="I10" s="6" t="str">
        <f>IFERROR(INDEX('سجل المخاطر'!$D$3:$D$32,MATCH(LARGE('سجل المخاطر'!$I$3:$I$32,2),'سجل المخاطر'!$I$3:$I$32,0)),"")</f>
        <v>تسرب معلومات عملاء يؤثر على الثقة المؤسسية</v>
      </c>
      <c r="J10" s="6"/>
      <c r="K10" s="41">
        <f>IFERROR(LARGE('سجل المخاطر'!$I$3:$I$32,2),"")</f>
        <v>10</v>
      </c>
    </row>
    <row r="11" spans="1:12" ht="24" customHeight="1">
      <c r="B11" s="36" t="s">
        <v>260</v>
      </c>
      <c r="C11" s="42">
        <f>COUNTIFS('سجل المخاطر'!$G$3:$G$32,3,'سجل المخاطر'!$H$3:$H$32,1)</f>
        <v>0</v>
      </c>
      <c r="D11" s="22">
        <f>COUNTIFS('سجل المخاطر'!$G$3:$G$32,3,'سجل المخاطر'!$H$3:$H$32,2)</f>
        <v>0</v>
      </c>
      <c r="E11" s="38">
        <f>COUNTIFS('سجل المخاطر'!$G$3:$G$32,3,'سجل المخاطر'!$H$3:$H$32,3)</f>
        <v>1</v>
      </c>
      <c r="F11" s="38">
        <f>COUNTIFS('سجل المخاطر'!$G$3:$G$32,3,'سجل المخاطر'!$H$3:$H$32,4)</f>
        <v>0</v>
      </c>
      <c r="G11" s="39">
        <f>COUNTIFS('سجل المخاطر'!$G$3:$G$32,3,'سجل المخاطر'!$H$3:$H$32,5)</f>
        <v>0</v>
      </c>
      <c r="H11" s="40">
        <v>3</v>
      </c>
      <c r="I11" s="6" t="str">
        <f>IFERROR(INDEX('سجل المخاطر'!$D$3:$D$32,MATCH(LARGE('سجل المخاطر'!$I$3:$I$32,3),'سجل المخاطر'!$I$3:$I$32,0)),"")</f>
        <v>تأخر تسليم منصة LiveGRC السحابية عن الجدول الزمني المخطط</v>
      </c>
      <c r="J11" s="6"/>
      <c r="K11" s="41">
        <f>IFERROR(LARGE('سجل المخاطر'!$I$3:$I$32,3),"")</f>
        <v>9</v>
      </c>
    </row>
    <row r="12" spans="1:12" ht="24" customHeight="1">
      <c r="B12" s="36" t="s">
        <v>261</v>
      </c>
      <c r="C12" s="42">
        <f>COUNTIFS('سجل المخاطر'!$G$3:$G$32,2,'سجل المخاطر'!$H$3:$H$32,1)</f>
        <v>0</v>
      </c>
      <c r="D12" s="22">
        <f>COUNTIFS('سجل المخاطر'!$G$3:$G$32,2,'سجل المخاطر'!$H$3:$H$32,2)</f>
        <v>0</v>
      </c>
      <c r="E12" s="22">
        <f>COUNTIFS('سجل المخاطر'!$G$3:$G$32,2,'سجل المخاطر'!$H$3:$H$32,3)</f>
        <v>1</v>
      </c>
      <c r="F12" s="22">
        <f>COUNTIFS('سجل المخاطر'!$G$3:$G$32,2,'سجل المخاطر'!$H$3:$H$32,4)</f>
        <v>0</v>
      </c>
      <c r="G12" s="38">
        <f>COUNTIFS('سجل المخاطر'!$G$3:$G$32,2,'سجل المخاطر'!$H$3:$H$32,5)</f>
        <v>1</v>
      </c>
      <c r="H12" s="40">
        <v>4</v>
      </c>
      <c r="I12" s="6" t="str">
        <f>IFERROR(INDEX('سجل المخاطر'!$D$3:$D$32,MATCH(LARGE('سجل المخاطر'!$I$3:$I$32,4),'سجل المخاطر'!$I$3:$I$32,0)),"")</f>
        <v>بطء دورة المبيعات مقارنة بالمنافسين</v>
      </c>
      <c r="J12" s="6"/>
      <c r="K12" s="41">
        <f>IFERROR(LARGE('سجل المخاطر'!$I$3:$I$32,4),"")</f>
        <v>8</v>
      </c>
    </row>
    <row r="13" spans="1:12" ht="24" customHeight="1">
      <c r="B13" s="36" t="s">
        <v>262</v>
      </c>
      <c r="C13" s="42">
        <f>COUNTIFS('سجل المخاطر'!$G$3:$G$32,1,'سجل المخاطر'!$H$3:$H$32,1)</f>
        <v>0</v>
      </c>
      <c r="D13" s="42">
        <f>COUNTIFS('سجل المخاطر'!$G$3:$G$32,1,'سجل المخاطر'!$H$3:$H$32,2)</f>
        <v>1</v>
      </c>
      <c r="E13" s="42">
        <f>COUNTIFS('سجل المخاطر'!$G$3:$G$32,1,'سجل المخاطر'!$H$3:$H$32,3)</f>
        <v>0</v>
      </c>
      <c r="F13" s="22">
        <f>COUNTIFS('سجل المخاطر'!$G$3:$G$32,1,'سجل المخاطر'!$H$3:$H$32,4)</f>
        <v>0</v>
      </c>
      <c r="G13" s="22">
        <f>COUNTIFS('سجل المخاطر'!$G$3:$G$32,1,'سجل المخاطر'!$H$3:$H$32,5)</f>
        <v>0</v>
      </c>
      <c r="H13" s="40">
        <v>5</v>
      </c>
      <c r="I13" s="6" t="str">
        <f>IFERROR(INDEX('سجل المخاطر'!$D$3:$D$32,MATCH(LARGE('سجل المخاطر'!$I$3:$I$32,5),'سجل المخاطر'!$I$3:$I$32,0)),"")</f>
        <v>عدم التزام أحد الموردين بمتطلبات حماية البيانات</v>
      </c>
      <c r="J13" s="6"/>
      <c r="K13" s="41">
        <f>IFERROR(LARGE('سجل المخاطر'!$I$3:$I$32,5),"")</f>
        <v>6</v>
      </c>
    </row>
    <row r="15" spans="1:12" ht="24" customHeight="1">
      <c r="B15" s="8" t="s">
        <v>263</v>
      </c>
      <c r="C15" s="8"/>
      <c r="D15" s="8"/>
      <c r="E15" s="8"/>
      <c r="F15" s="8"/>
      <c r="G15" s="8"/>
      <c r="H15" s="8"/>
      <c r="I15" s="8"/>
      <c r="J15" s="8"/>
      <c r="K15" s="8"/>
    </row>
    <row r="32" spans="1:12" ht="21.75" customHeight="1">
      <c r="A32" s="15"/>
      <c r="B32" s="5" t="s">
        <v>264</v>
      </c>
      <c r="C32" s="5"/>
      <c r="D32" s="5"/>
      <c r="E32" s="5"/>
      <c r="F32" s="5"/>
      <c r="G32" s="5"/>
      <c r="H32" s="5"/>
      <c r="I32" s="5"/>
      <c r="J32" s="5"/>
      <c r="K32" s="5"/>
      <c r="L32" s="15"/>
    </row>
  </sheetData>
  <mergeCells count="22">
    <mergeCell ref="I11:J11"/>
    <mergeCell ref="I12:J12"/>
    <mergeCell ref="I13:J13"/>
    <mergeCell ref="B15:K15"/>
    <mergeCell ref="B32:K32"/>
    <mergeCell ref="B7:E7"/>
    <mergeCell ref="H7:K7"/>
    <mergeCell ref="I8:J8"/>
    <mergeCell ref="I9:J9"/>
    <mergeCell ref="I10:J10"/>
    <mergeCell ref="B5:C5"/>
    <mergeCell ref="D5:E5"/>
    <mergeCell ref="F5:G5"/>
    <mergeCell ref="H5:I5"/>
    <mergeCell ref="J5:K5"/>
    <mergeCell ref="B2:H2"/>
    <mergeCell ref="I2:K2"/>
    <mergeCell ref="B4:C4"/>
    <mergeCell ref="D4:E4"/>
    <mergeCell ref="F4:G4"/>
    <mergeCell ref="H4:I4"/>
    <mergeCell ref="J4:K4"/>
  </mergeCells>
  <pageMargins left="0.3" right="0.3" top="0.4" bottom="0.4" header="0.511811023622047" footer="0.511811023622047"/>
  <pageSetup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30"/>
  <sheetViews>
    <sheetView showGridLines="0" rightToLeft="1" zoomScaleNormal="100" workbookViewId="0">
      <selection activeCell="J4" sqref="J4"/>
    </sheetView>
  </sheetViews>
  <sheetFormatPr defaultColWidth="8.6328125" defaultRowHeight="14.5"/>
  <cols>
    <col min="1" max="1" width="3" customWidth="1"/>
    <col min="2" max="2" width="34" customWidth="1"/>
    <col min="3" max="3" width="60" customWidth="1"/>
    <col min="4" max="4" width="3" customWidth="1"/>
  </cols>
  <sheetData>
    <row r="2" spans="2:3" ht="30" customHeight="1">
      <c r="B2" s="48" t="s">
        <v>16</v>
      </c>
      <c r="C2" s="48"/>
    </row>
    <row r="4" spans="2:3" ht="60" customHeight="1">
      <c r="B4" s="49" t="s">
        <v>17</v>
      </c>
      <c r="C4" s="49"/>
    </row>
    <row r="6" spans="2:3">
      <c r="B6" s="50" t="s">
        <v>18</v>
      </c>
      <c r="C6" s="50"/>
    </row>
    <row r="7" spans="2:3" ht="25.5" customHeight="1">
      <c r="B7" s="18" t="s">
        <v>19</v>
      </c>
      <c r="C7" s="18" t="s">
        <v>20</v>
      </c>
    </row>
    <row r="8" spans="2:3" ht="30" customHeight="1">
      <c r="B8" s="19" t="s">
        <v>21</v>
      </c>
      <c r="C8" s="20" t="s">
        <v>22</v>
      </c>
    </row>
    <row r="9" spans="2:3" ht="30" customHeight="1">
      <c r="B9" s="19" t="s">
        <v>23</v>
      </c>
      <c r="C9" s="20" t="s">
        <v>24</v>
      </c>
    </row>
    <row r="10" spans="2:3" ht="30" customHeight="1">
      <c r="B10" s="19" t="s">
        <v>6</v>
      </c>
      <c r="C10" s="20" t="s">
        <v>25</v>
      </c>
    </row>
    <row r="11" spans="2:3" ht="30" customHeight="1">
      <c r="B11" s="19" t="s">
        <v>26</v>
      </c>
      <c r="C11" s="20" t="s">
        <v>27</v>
      </c>
    </row>
    <row r="12" spans="2:3" ht="30" customHeight="1">
      <c r="B12" s="19" t="s">
        <v>28</v>
      </c>
      <c r="C12" s="20" t="s">
        <v>29</v>
      </c>
    </row>
    <row r="13" spans="2:3" ht="30" customHeight="1">
      <c r="B13" s="19" t="s">
        <v>30</v>
      </c>
      <c r="C13" s="20" t="s">
        <v>31</v>
      </c>
    </row>
    <row r="14" spans="2:3" ht="30" customHeight="1">
      <c r="B14" s="19" t="s">
        <v>32</v>
      </c>
      <c r="C14" s="20" t="s">
        <v>33</v>
      </c>
    </row>
    <row r="15" spans="2:3" ht="30" customHeight="1">
      <c r="B15" s="19" t="s">
        <v>34</v>
      </c>
      <c r="C15" s="20" t="s">
        <v>35</v>
      </c>
    </row>
    <row r="17" spans="2:3">
      <c r="B17" s="50" t="s">
        <v>36</v>
      </c>
      <c r="C17" s="50"/>
    </row>
    <row r="18" spans="2:3" ht="30" customHeight="1">
      <c r="B18" s="21" t="s">
        <v>37</v>
      </c>
      <c r="C18" s="20" t="s">
        <v>38</v>
      </c>
    </row>
    <row r="19" spans="2:3" ht="30" customHeight="1">
      <c r="B19" s="21" t="s">
        <v>39</v>
      </c>
      <c r="C19" s="20" t="s">
        <v>40</v>
      </c>
    </row>
    <row r="20" spans="2:3" ht="30" customHeight="1">
      <c r="B20" s="21" t="s">
        <v>41</v>
      </c>
      <c r="C20" s="20" t="s">
        <v>42</v>
      </c>
    </row>
    <row r="21" spans="2:3" ht="30" customHeight="1">
      <c r="B21" s="21" t="s">
        <v>43</v>
      </c>
      <c r="C21" s="20" t="s">
        <v>44</v>
      </c>
    </row>
    <row r="23" spans="2:3">
      <c r="B23" s="50" t="s">
        <v>45</v>
      </c>
      <c r="C23" s="50"/>
    </row>
    <row r="24" spans="2:3" ht="21.75" customHeight="1">
      <c r="B24" s="51" t="s">
        <v>46</v>
      </c>
      <c r="C24" s="51"/>
    </row>
    <row r="25" spans="2:3" ht="21.75" customHeight="1">
      <c r="B25" s="51" t="s">
        <v>47</v>
      </c>
      <c r="C25" s="51"/>
    </row>
    <row r="26" spans="2:3" ht="21.75" customHeight="1">
      <c r="B26" s="51" t="s">
        <v>48</v>
      </c>
      <c r="C26" s="51"/>
    </row>
    <row r="27" spans="2:3" ht="21.75" customHeight="1">
      <c r="B27" s="51" t="s">
        <v>49</v>
      </c>
      <c r="C27" s="51"/>
    </row>
    <row r="28" spans="2:3" ht="21.75" customHeight="1">
      <c r="B28" s="51" t="s">
        <v>50</v>
      </c>
      <c r="C28" s="51"/>
    </row>
    <row r="29" spans="2:3" ht="21.75" customHeight="1">
      <c r="B29" s="51" t="s">
        <v>51</v>
      </c>
      <c r="C29" s="51"/>
    </row>
    <row r="30" spans="2:3" ht="21.75" customHeight="1">
      <c r="B30" s="51" t="s">
        <v>52</v>
      </c>
      <c r="C30" s="51"/>
    </row>
  </sheetData>
  <mergeCells count="12">
    <mergeCell ref="B29:C29"/>
    <mergeCell ref="B30:C30"/>
    <mergeCell ref="B24:C24"/>
    <mergeCell ref="B25:C25"/>
    <mergeCell ref="B26:C26"/>
    <mergeCell ref="B27:C27"/>
    <mergeCell ref="B28:C28"/>
    <mergeCell ref="B2:C2"/>
    <mergeCell ref="B4:C4"/>
    <mergeCell ref="B6:C6"/>
    <mergeCell ref="B17:C17"/>
    <mergeCell ref="B23:C23"/>
  </mergeCells>
  <pageMargins left="0.3" right="0.3" top="0.4" bottom="0.4" header="0.511811023622047" footer="0.511811023622047"/>
  <pageSetup fitToHeight="0"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6"/>
  <sheetViews>
    <sheetView rightToLeft="1" zoomScaleNormal="100" workbookViewId="0">
      <pane ySplit="2" topLeftCell="A3" activePane="bottomLeft" state="frozen"/>
      <selection pane="bottomLeft" activeCell="M8" sqref="M8"/>
    </sheetView>
  </sheetViews>
  <sheetFormatPr defaultColWidth="8.6328125" defaultRowHeight="14.5"/>
  <cols>
    <col min="1" max="1" width="12" customWidth="1"/>
    <col min="2" max="2" width="28" customWidth="1"/>
    <col min="3" max="3" width="38" customWidth="1"/>
    <col min="4" max="4" width="13" customWidth="1"/>
    <col min="5" max="5" width="22" customWidth="1"/>
    <col min="6" max="6" width="15" customWidth="1"/>
    <col min="7" max="7" width="12" customWidth="1"/>
  </cols>
  <sheetData>
    <row r="1" spans="1:7" ht="27.75" customHeight="1">
      <c r="A1" s="52" t="s">
        <v>53</v>
      </c>
      <c r="B1" s="52"/>
      <c r="C1" s="52"/>
      <c r="D1" s="52"/>
      <c r="E1" s="52"/>
      <c r="F1" s="52"/>
      <c r="G1" s="52"/>
    </row>
    <row r="2" spans="1:7" ht="42" customHeight="1">
      <c r="A2" s="18" t="s">
        <v>54</v>
      </c>
      <c r="B2" s="18" t="s">
        <v>55</v>
      </c>
      <c r="C2" s="18" t="s">
        <v>56</v>
      </c>
      <c r="D2" s="18" t="s">
        <v>57</v>
      </c>
      <c r="E2" s="18" t="s">
        <v>58</v>
      </c>
      <c r="F2" s="18" t="s">
        <v>59</v>
      </c>
      <c r="G2" s="18" t="s">
        <v>60</v>
      </c>
    </row>
    <row r="3" spans="1:7" ht="30" customHeight="1">
      <c r="A3" s="22" t="str">
        <f t="shared" ref="A3:A26" si="0">IF(B3="","","OBJ-"&amp;TEXT(ROW()-2,"000"))</f>
        <v>OBJ-001</v>
      </c>
      <c r="B3" s="23" t="s">
        <v>61</v>
      </c>
      <c r="C3" s="23" t="s">
        <v>62</v>
      </c>
      <c r="D3" s="24" t="s">
        <v>63</v>
      </c>
      <c r="E3" s="23" t="s">
        <v>64</v>
      </c>
      <c r="F3" s="25">
        <v>46082</v>
      </c>
      <c r="G3" s="24" t="s">
        <v>65</v>
      </c>
    </row>
    <row r="4" spans="1:7" ht="30" customHeight="1">
      <c r="A4" s="22" t="str">
        <f t="shared" si="0"/>
        <v>OBJ-002</v>
      </c>
      <c r="B4" s="23" t="s">
        <v>66</v>
      </c>
      <c r="C4" s="23" t="s">
        <v>67</v>
      </c>
      <c r="D4" s="24" t="s">
        <v>63</v>
      </c>
      <c r="E4" s="23" t="s">
        <v>68</v>
      </c>
      <c r="F4" s="25">
        <v>46174</v>
      </c>
      <c r="G4" s="24" t="s">
        <v>65</v>
      </c>
    </row>
    <row r="5" spans="1:7" ht="30" customHeight="1">
      <c r="A5" s="22" t="str">
        <f t="shared" si="0"/>
        <v>OBJ-003</v>
      </c>
      <c r="B5" s="23" t="s">
        <v>69</v>
      </c>
      <c r="C5" s="23" t="s">
        <v>70</v>
      </c>
      <c r="D5" s="24" t="s">
        <v>71</v>
      </c>
      <c r="E5" s="23" t="s">
        <v>72</v>
      </c>
      <c r="F5" s="25">
        <v>46068</v>
      </c>
      <c r="G5" s="24" t="s">
        <v>65</v>
      </c>
    </row>
    <row r="6" spans="1:7" ht="30" customHeight="1">
      <c r="A6" s="22" t="str">
        <f t="shared" si="0"/>
        <v>OBJ-004</v>
      </c>
      <c r="B6" s="23" t="s">
        <v>73</v>
      </c>
      <c r="C6" s="23" t="s">
        <v>74</v>
      </c>
      <c r="D6" s="24" t="s">
        <v>71</v>
      </c>
      <c r="E6" s="23" t="s">
        <v>75</v>
      </c>
      <c r="F6" s="25">
        <v>46113</v>
      </c>
      <c r="G6" s="24" t="s">
        <v>65</v>
      </c>
    </row>
    <row r="7" spans="1:7" ht="30" customHeight="1">
      <c r="A7" s="22" t="str">
        <f t="shared" si="0"/>
        <v>OBJ-005</v>
      </c>
      <c r="B7" s="23" t="s">
        <v>76</v>
      </c>
      <c r="C7" s="23" t="s">
        <v>77</v>
      </c>
      <c r="D7" s="24" t="s">
        <v>63</v>
      </c>
      <c r="E7" s="23" t="s">
        <v>78</v>
      </c>
      <c r="F7" s="25">
        <v>46143</v>
      </c>
      <c r="G7" s="24" t="s">
        <v>65</v>
      </c>
    </row>
    <row r="8" spans="1:7" ht="30" customHeight="1">
      <c r="A8" s="26" t="str">
        <f t="shared" si="0"/>
        <v/>
      </c>
      <c r="B8" s="20"/>
      <c r="C8" s="20"/>
      <c r="D8" s="27"/>
      <c r="E8" s="20"/>
      <c r="F8" s="28"/>
      <c r="G8" s="27"/>
    </row>
    <row r="9" spans="1:7" ht="30" customHeight="1">
      <c r="A9" s="26" t="str">
        <f t="shared" si="0"/>
        <v/>
      </c>
      <c r="B9" s="20"/>
      <c r="C9" s="20"/>
      <c r="D9" s="27"/>
      <c r="E9" s="20"/>
      <c r="F9" s="28"/>
      <c r="G9" s="27"/>
    </row>
    <row r="10" spans="1:7" ht="30" customHeight="1">
      <c r="A10" s="26" t="str">
        <f t="shared" si="0"/>
        <v/>
      </c>
      <c r="B10" s="20"/>
      <c r="C10" s="20"/>
      <c r="D10" s="27"/>
      <c r="E10" s="20"/>
      <c r="F10" s="28"/>
      <c r="G10" s="27"/>
    </row>
    <row r="11" spans="1:7" ht="30" customHeight="1">
      <c r="A11" s="26" t="str">
        <f t="shared" si="0"/>
        <v/>
      </c>
      <c r="B11" s="20"/>
      <c r="C11" s="20"/>
      <c r="D11" s="27"/>
      <c r="E11" s="20"/>
      <c r="F11" s="28"/>
      <c r="G11" s="27"/>
    </row>
    <row r="12" spans="1:7" ht="30" customHeight="1">
      <c r="A12" s="26" t="str">
        <f t="shared" si="0"/>
        <v/>
      </c>
      <c r="B12" s="20"/>
      <c r="C12" s="20"/>
      <c r="D12" s="27"/>
      <c r="E12" s="20"/>
      <c r="F12" s="28"/>
      <c r="G12" s="27"/>
    </row>
    <row r="13" spans="1:7" ht="30" customHeight="1">
      <c r="A13" s="26" t="str">
        <f t="shared" si="0"/>
        <v/>
      </c>
      <c r="B13" s="20"/>
      <c r="C13" s="20"/>
      <c r="D13" s="27"/>
      <c r="E13" s="20"/>
      <c r="F13" s="28"/>
      <c r="G13" s="27"/>
    </row>
    <row r="14" spans="1:7" ht="30" customHeight="1">
      <c r="A14" s="26" t="str">
        <f t="shared" si="0"/>
        <v/>
      </c>
      <c r="B14" s="20"/>
      <c r="C14" s="20"/>
      <c r="D14" s="27"/>
      <c r="E14" s="20"/>
      <c r="F14" s="28"/>
      <c r="G14" s="27"/>
    </row>
    <row r="15" spans="1:7" ht="30" customHeight="1">
      <c r="A15" s="26" t="str">
        <f t="shared" si="0"/>
        <v/>
      </c>
      <c r="B15" s="20"/>
      <c r="C15" s="20"/>
      <c r="D15" s="27"/>
      <c r="E15" s="20"/>
      <c r="F15" s="28"/>
      <c r="G15" s="27"/>
    </row>
    <row r="16" spans="1:7" ht="30" customHeight="1">
      <c r="A16" s="26" t="str">
        <f t="shared" si="0"/>
        <v/>
      </c>
      <c r="B16" s="20"/>
      <c r="C16" s="20"/>
      <c r="D16" s="27"/>
      <c r="E16" s="20"/>
      <c r="F16" s="28"/>
      <c r="G16" s="27"/>
    </row>
    <row r="17" spans="1:7" ht="30" customHeight="1">
      <c r="A17" s="26" t="str">
        <f t="shared" si="0"/>
        <v/>
      </c>
      <c r="B17" s="20"/>
      <c r="C17" s="20"/>
      <c r="D17" s="27"/>
      <c r="E17" s="20"/>
      <c r="F17" s="28"/>
      <c r="G17" s="27"/>
    </row>
    <row r="18" spans="1:7" ht="30" customHeight="1">
      <c r="A18" s="26" t="str">
        <f t="shared" si="0"/>
        <v/>
      </c>
      <c r="B18" s="20"/>
      <c r="C18" s="20"/>
      <c r="D18" s="27"/>
      <c r="E18" s="20"/>
      <c r="F18" s="28"/>
      <c r="G18" s="27"/>
    </row>
    <row r="19" spans="1:7" ht="30" customHeight="1">
      <c r="A19" s="26" t="str">
        <f t="shared" si="0"/>
        <v/>
      </c>
      <c r="B19" s="20"/>
      <c r="C19" s="20"/>
      <c r="D19" s="27"/>
      <c r="E19" s="20"/>
      <c r="F19" s="28"/>
      <c r="G19" s="27"/>
    </row>
    <row r="20" spans="1:7" ht="30" customHeight="1">
      <c r="A20" s="26" t="str">
        <f t="shared" si="0"/>
        <v/>
      </c>
      <c r="B20" s="20"/>
      <c r="C20" s="20"/>
      <c r="D20" s="27"/>
      <c r="E20" s="20"/>
      <c r="F20" s="28"/>
      <c r="G20" s="27"/>
    </row>
    <row r="21" spans="1:7" ht="30" customHeight="1">
      <c r="A21" s="26" t="str">
        <f t="shared" si="0"/>
        <v/>
      </c>
      <c r="B21" s="20"/>
      <c r="C21" s="20"/>
      <c r="D21" s="27"/>
      <c r="E21" s="20"/>
      <c r="F21" s="28"/>
      <c r="G21" s="27"/>
    </row>
    <row r="22" spans="1:7" ht="30" customHeight="1">
      <c r="A22" s="26" t="str">
        <f t="shared" si="0"/>
        <v/>
      </c>
      <c r="B22" s="20"/>
      <c r="C22" s="20"/>
      <c r="D22" s="27"/>
      <c r="E22" s="20"/>
      <c r="F22" s="28"/>
      <c r="G22" s="27"/>
    </row>
    <row r="23" spans="1:7" ht="30" customHeight="1">
      <c r="A23" s="26" t="str">
        <f t="shared" si="0"/>
        <v/>
      </c>
      <c r="B23" s="20"/>
      <c r="C23" s="20"/>
      <c r="D23" s="27"/>
      <c r="E23" s="20"/>
      <c r="F23" s="28"/>
      <c r="G23" s="27"/>
    </row>
    <row r="24" spans="1:7" ht="30" customHeight="1">
      <c r="A24" s="26" t="str">
        <f t="shared" si="0"/>
        <v/>
      </c>
      <c r="B24" s="20"/>
      <c r="C24" s="20"/>
      <c r="D24" s="27"/>
      <c r="E24" s="20"/>
      <c r="F24" s="28"/>
      <c r="G24" s="27"/>
    </row>
    <row r="25" spans="1:7" ht="30" customHeight="1">
      <c r="A25" s="26" t="str">
        <f t="shared" si="0"/>
        <v/>
      </c>
      <c r="B25" s="20"/>
      <c r="C25" s="20"/>
      <c r="D25" s="27"/>
      <c r="E25" s="20"/>
      <c r="F25" s="28"/>
      <c r="G25" s="27"/>
    </row>
    <row r="26" spans="1:7" ht="30" customHeight="1">
      <c r="A26" s="26" t="str">
        <f t="shared" si="0"/>
        <v/>
      </c>
      <c r="B26" s="20"/>
      <c r="C26" s="20"/>
      <c r="D26" s="27"/>
      <c r="E26" s="20"/>
      <c r="F26" s="28"/>
      <c r="G26" s="27"/>
    </row>
  </sheetData>
  <mergeCells count="1">
    <mergeCell ref="A1:G1"/>
  </mergeCells>
  <dataValidations count="2">
    <dataValidation type="list" allowBlank="1" sqref="D3:D26" xr:uid="{00000000-0002-0000-0200-000000000000}">
      <formula1>"استراتيجي,تشغيلي"</formula1>
      <formula2>0</formula2>
    </dataValidation>
    <dataValidation type="list" allowBlank="1" sqref="G3:G26" xr:uid="{00000000-0002-0000-0200-000001000000}">
      <formula1>"نشط,مكتمل,مؤجل"</formula1>
      <formula2>0</formula2>
    </dataValidation>
  </dataValidations>
  <pageMargins left="0.3" right="0.3" top="0.4" bottom="0.4" header="0.511811023622047" footer="0.511811023622047"/>
  <pageSetup fitToHeight="0" orientation="landscape"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rightToLeft="1" zoomScaleNormal="100" workbookViewId="0">
      <pane ySplit="2" topLeftCell="A3" activePane="bottomLeft" state="frozen"/>
      <selection pane="bottomLeft" activeCell="L12" sqref="L12"/>
    </sheetView>
  </sheetViews>
  <sheetFormatPr defaultColWidth="8.6328125" defaultRowHeight="14.5"/>
  <cols>
    <col min="1" max="1" width="12" customWidth="1"/>
    <col min="2" max="2" width="15" customWidth="1"/>
    <col min="3" max="3" width="24" customWidth="1"/>
    <col min="4" max="4" width="34" customWidth="1"/>
    <col min="5" max="5" width="13" customWidth="1"/>
    <col min="6" max="6" width="18" customWidth="1"/>
    <col min="7" max="7" width="12" customWidth="1"/>
    <col min="8" max="8" width="10" customWidth="1"/>
    <col min="9" max="9" width="11" customWidth="1"/>
    <col min="10" max="10" width="12" customWidth="1"/>
    <col min="11" max="11" width="14" customWidth="1"/>
    <col min="12" max="12" width="13" customWidth="1"/>
  </cols>
  <sheetData>
    <row r="1" spans="1:12" ht="27.75" customHeight="1">
      <c r="A1" s="52" t="s">
        <v>79</v>
      </c>
      <c r="B1" s="52"/>
      <c r="C1" s="52"/>
      <c r="D1" s="52"/>
      <c r="E1" s="52"/>
      <c r="F1" s="52"/>
      <c r="G1" s="52"/>
      <c r="H1" s="52"/>
      <c r="I1" s="52"/>
      <c r="J1" s="52"/>
      <c r="K1" s="52"/>
      <c r="L1" s="52"/>
    </row>
    <row r="2" spans="1:12" ht="42" customHeight="1">
      <c r="A2" s="18" t="s">
        <v>80</v>
      </c>
      <c r="B2" s="18" t="s">
        <v>81</v>
      </c>
      <c r="C2" s="18" t="s">
        <v>82</v>
      </c>
      <c r="D2" s="18" t="s">
        <v>83</v>
      </c>
      <c r="E2" s="18" t="s">
        <v>84</v>
      </c>
      <c r="F2" s="18" t="s">
        <v>85</v>
      </c>
      <c r="G2" s="18" t="s">
        <v>86</v>
      </c>
      <c r="H2" s="18" t="s">
        <v>87</v>
      </c>
      <c r="I2" s="18" t="s">
        <v>88</v>
      </c>
      <c r="J2" s="18" t="s">
        <v>89</v>
      </c>
      <c r="K2" s="18" t="s">
        <v>90</v>
      </c>
      <c r="L2" s="18" t="s">
        <v>60</v>
      </c>
    </row>
    <row r="3" spans="1:12" ht="30" customHeight="1">
      <c r="A3" s="22" t="str">
        <f t="shared" ref="A3:A32" si="0">IF(D3="","","RISK-"&amp;TEXT(ROW()-2,"000"))</f>
        <v>RISK-001</v>
      </c>
      <c r="B3" s="29" t="s">
        <v>91</v>
      </c>
      <c r="C3" s="24" t="str">
        <f>IF(B3="","",IFERROR(INDEX('الأهداف الاستراتيجية'!$B$3:$B$26,MATCH(B3,'الأهداف الاستراتيجية'!$A$3:$A$26,0)),""))</f>
        <v>إطلاق منصة LiveGRC السحابية الكاملة</v>
      </c>
      <c r="D3" s="23" t="s">
        <v>92</v>
      </c>
      <c r="E3" s="24" t="s">
        <v>63</v>
      </c>
      <c r="F3" s="24" t="s">
        <v>93</v>
      </c>
      <c r="G3" s="29">
        <v>3</v>
      </c>
      <c r="H3" s="29">
        <v>3</v>
      </c>
      <c r="I3" s="24">
        <f t="shared" ref="I3:I32" si="1">IF(D3="","",G3*H3)</f>
        <v>9</v>
      </c>
      <c r="J3" s="24" t="str">
        <f t="shared" ref="J3:J32" si="2">IF(I3="","",IF(I3&gt;=15,"حرج",IF(I3&gt;=9,"عالي",IF(I3&gt;=4,"متوسط","منخفض"))))</f>
        <v>عالي</v>
      </c>
      <c r="K3" s="25">
        <v>46204</v>
      </c>
      <c r="L3" s="24" t="s">
        <v>94</v>
      </c>
    </row>
    <row r="4" spans="1:12" ht="30" customHeight="1">
      <c r="A4" s="22" t="str">
        <f t="shared" si="0"/>
        <v>RISK-002</v>
      </c>
      <c r="B4" s="29" t="s">
        <v>95</v>
      </c>
      <c r="C4" s="24" t="str">
        <f>IF(B4="","",IFERROR(INDEX('الأهداف الاستراتيجية'!$B$3:$B$26,MATCH(B4,'الأهداف الاستراتيجية'!$A$3:$A$26,0)),""))</f>
        <v>استمرارية الخدمة دون انقطاع</v>
      </c>
      <c r="D4" s="23" t="s">
        <v>96</v>
      </c>
      <c r="E4" s="24" t="s">
        <v>97</v>
      </c>
      <c r="F4" s="24" t="s">
        <v>98</v>
      </c>
      <c r="G4" s="29">
        <v>4</v>
      </c>
      <c r="H4" s="29">
        <v>5</v>
      </c>
      <c r="I4" s="24">
        <f t="shared" si="1"/>
        <v>20</v>
      </c>
      <c r="J4" s="24" t="str">
        <f t="shared" si="2"/>
        <v>حرج</v>
      </c>
      <c r="K4" s="25">
        <v>46188</v>
      </c>
      <c r="L4" s="24" t="s">
        <v>99</v>
      </c>
    </row>
    <row r="5" spans="1:12" ht="30" customHeight="1">
      <c r="A5" s="22" t="str">
        <f t="shared" si="0"/>
        <v>RISK-003</v>
      </c>
      <c r="B5" s="29" t="s">
        <v>100</v>
      </c>
      <c r="C5" s="24" t="str">
        <f>IF(B5="","",IFERROR(INDEX('الأهداف الاستراتيجية'!$B$3:$B$26,MATCH(B5,'الأهداف الاستراتيجية'!$A$3:$A$26,0)),""))</f>
        <v>الالتزام الكامل بمتطلبات حماية البيانات</v>
      </c>
      <c r="D5" s="23" t="s">
        <v>101</v>
      </c>
      <c r="E5" s="24" t="s">
        <v>102</v>
      </c>
      <c r="F5" s="24" t="s">
        <v>75</v>
      </c>
      <c r="G5" s="29">
        <v>2</v>
      </c>
      <c r="H5" s="29">
        <v>3</v>
      </c>
      <c r="I5" s="24">
        <f t="shared" si="1"/>
        <v>6</v>
      </c>
      <c r="J5" s="24" t="str">
        <f t="shared" si="2"/>
        <v>متوسط</v>
      </c>
      <c r="K5" s="25">
        <v>46162</v>
      </c>
      <c r="L5" s="24" t="s">
        <v>99</v>
      </c>
    </row>
    <row r="6" spans="1:12" ht="30" customHeight="1">
      <c r="A6" s="22" t="str">
        <f t="shared" si="0"/>
        <v>RISK-004</v>
      </c>
      <c r="B6" s="29" t="s">
        <v>103</v>
      </c>
      <c r="C6" s="24" t="str">
        <f>IF(B6="","",IFERROR(INDEX('الأهداف الاستراتيجية'!$B$3:$B$26,MATCH(B6,'الأهداف الاستراتيجية'!$A$3:$A$26,0)),""))</f>
        <v>حماية سمعة المؤسسة وثقة العملاء</v>
      </c>
      <c r="D6" s="23" t="s">
        <v>104</v>
      </c>
      <c r="E6" s="24" t="s">
        <v>105</v>
      </c>
      <c r="F6" s="24" t="s">
        <v>106</v>
      </c>
      <c r="G6" s="29">
        <v>2</v>
      </c>
      <c r="H6" s="29">
        <v>5</v>
      </c>
      <c r="I6" s="24">
        <f t="shared" si="1"/>
        <v>10</v>
      </c>
      <c r="J6" s="24" t="str">
        <f t="shared" si="2"/>
        <v>عالي</v>
      </c>
      <c r="K6" s="25">
        <v>46122</v>
      </c>
      <c r="L6" s="24" t="s">
        <v>94</v>
      </c>
    </row>
    <row r="7" spans="1:12" ht="30" customHeight="1">
      <c r="A7" s="22" t="str">
        <f t="shared" si="0"/>
        <v>RISK-005</v>
      </c>
      <c r="B7" s="29" t="s">
        <v>107</v>
      </c>
      <c r="C7" s="24" t="str">
        <f>IF(B7="","",IFERROR(INDEX('الأهداف الاستراتيجية'!$B$3:$B$26,MATCH(B7,'الأهداف الاستراتيجية'!$A$3:$A$26,0)),""))</f>
        <v>توسيع قاعدة العملاء المؤسسيين</v>
      </c>
      <c r="D7" s="23" t="s">
        <v>108</v>
      </c>
      <c r="E7" s="24" t="s">
        <v>71</v>
      </c>
      <c r="F7" s="24" t="s">
        <v>109</v>
      </c>
      <c r="G7" s="29">
        <v>4</v>
      </c>
      <c r="H7" s="29">
        <v>2</v>
      </c>
      <c r="I7" s="24">
        <f t="shared" si="1"/>
        <v>8</v>
      </c>
      <c r="J7" s="24" t="str">
        <f t="shared" si="2"/>
        <v>متوسط</v>
      </c>
      <c r="K7" s="25">
        <v>46086</v>
      </c>
      <c r="L7" s="24" t="s">
        <v>99</v>
      </c>
    </row>
    <row r="8" spans="1:12" ht="30" customHeight="1">
      <c r="A8" s="22" t="str">
        <f t="shared" si="0"/>
        <v>RISK-006</v>
      </c>
      <c r="B8" s="29" t="s">
        <v>95</v>
      </c>
      <c r="C8" s="24" t="str">
        <f>IF(B8="","",IFERROR(INDEX('الأهداف الاستراتيجية'!$B$3:$B$26,MATCH(B8,'الأهداف الاستراتيجية'!$A$3:$A$26,0)),""))</f>
        <v>استمرارية الخدمة دون انقطاع</v>
      </c>
      <c r="D8" s="23" t="s">
        <v>110</v>
      </c>
      <c r="E8" s="24" t="s">
        <v>71</v>
      </c>
      <c r="F8" s="24" t="s">
        <v>111</v>
      </c>
      <c r="G8" s="29">
        <v>1</v>
      </c>
      <c r="H8" s="29">
        <v>2</v>
      </c>
      <c r="I8" s="24">
        <f t="shared" si="1"/>
        <v>2</v>
      </c>
      <c r="J8" s="24" t="str">
        <f t="shared" si="2"/>
        <v>منخفض</v>
      </c>
      <c r="K8" s="25">
        <v>46054</v>
      </c>
      <c r="L8" s="24" t="s">
        <v>112</v>
      </c>
    </row>
    <row r="9" spans="1:12" ht="30" customHeight="1">
      <c r="A9" s="26" t="str">
        <f t="shared" si="0"/>
        <v/>
      </c>
      <c r="B9" s="27"/>
      <c r="C9" s="30" t="str">
        <f>IF(B9="","",IFERROR(INDEX('الأهداف الاستراتيجية'!$B$3:$B$26,MATCH(B9,'الأهداف الاستراتيجية'!$A$3:$A$26,0)),""))</f>
        <v/>
      </c>
      <c r="D9" s="20"/>
      <c r="E9" s="27"/>
      <c r="F9" s="27"/>
      <c r="G9" s="27"/>
      <c r="H9" s="27"/>
      <c r="I9" s="30" t="str">
        <f t="shared" si="1"/>
        <v/>
      </c>
      <c r="J9" s="30" t="str">
        <f t="shared" si="2"/>
        <v/>
      </c>
      <c r="K9" s="28"/>
      <c r="L9" s="27"/>
    </row>
    <row r="10" spans="1:12" ht="30" customHeight="1">
      <c r="A10" s="26" t="str">
        <f t="shared" si="0"/>
        <v/>
      </c>
      <c r="B10" s="27"/>
      <c r="C10" s="30" t="str">
        <f>IF(B10="","",IFERROR(INDEX('الأهداف الاستراتيجية'!$B$3:$B$26,MATCH(B10,'الأهداف الاستراتيجية'!$A$3:$A$26,0)),""))</f>
        <v/>
      </c>
      <c r="D10" s="20"/>
      <c r="E10" s="27"/>
      <c r="F10" s="27"/>
      <c r="G10" s="27"/>
      <c r="H10" s="27"/>
      <c r="I10" s="30" t="str">
        <f t="shared" si="1"/>
        <v/>
      </c>
      <c r="J10" s="30" t="str">
        <f t="shared" si="2"/>
        <v/>
      </c>
      <c r="K10" s="28"/>
      <c r="L10" s="27"/>
    </row>
    <row r="11" spans="1:12" ht="30" customHeight="1">
      <c r="A11" s="26" t="str">
        <f t="shared" si="0"/>
        <v/>
      </c>
      <c r="B11" s="27"/>
      <c r="C11" s="30" t="str">
        <f>IF(B11="","",IFERROR(INDEX('الأهداف الاستراتيجية'!$B$3:$B$26,MATCH(B11,'الأهداف الاستراتيجية'!$A$3:$A$26,0)),""))</f>
        <v/>
      </c>
      <c r="D11" s="20"/>
      <c r="E11" s="27"/>
      <c r="F11" s="27"/>
      <c r="G11" s="27"/>
      <c r="H11" s="27"/>
      <c r="I11" s="30" t="str">
        <f t="shared" si="1"/>
        <v/>
      </c>
      <c r="J11" s="30" t="str">
        <f t="shared" si="2"/>
        <v/>
      </c>
      <c r="K11" s="28"/>
      <c r="L11" s="27"/>
    </row>
    <row r="12" spans="1:12" ht="30" customHeight="1">
      <c r="A12" s="26" t="str">
        <f t="shared" si="0"/>
        <v/>
      </c>
      <c r="B12" s="27"/>
      <c r="C12" s="30" t="str">
        <f>IF(B12="","",IFERROR(INDEX('الأهداف الاستراتيجية'!$B$3:$B$26,MATCH(B12,'الأهداف الاستراتيجية'!$A$3:$A$26,0)),""))</f>
        <v/>
      </c>
      <c r="D12" s="20"/>
      <c r="E12" s="27"/>
      <c r="F12" s="27"/>
      <c r="G12" s="27"/>
      <c r="H12" s="27"/>
      <c r="I12" s="30" t="str">
        <f t="shared" si="1"/>
        <v/>
      </c>
      <c r="J12" s="30" t="str">
        <f t="shared" si="2"/>
        <v/>
      </c>
      <c r="K12" s="28"/>
      <c r="L12" s="27"/>
    </row>
    <row r="13" spans="1:12" ht="30" customHeight="1">
      <c r="A13" s="26" t="str">
        <f t="shared" si="0"/>
        <v/>
      </c>
      <c r="B13" s="27"/>
      <c r="C13" s="30" t="str">
        <f>IF(B13="","",IFERROR(INDEX('الأهداف الاستراتيجية'!$B$3:$B$26,MATCH(B13,'الأهداف الاستراتيجية'!$A$3:$A$26,0)),""))</f>
        <v/>
      </c>
      <c r="D13" s="20"/>
      <c r="E13" s="27"/>
      <c r="F13" s="27"/>
      <c r="G13" s="27"/>
      <c r="H13" s="27"/>
      <c r="I13" s="30" t="str">
        <f t="shared" si="1"/>
        <v/>
      </c>
      <c r="J13" s="30" t="str">
        <f t="shared" si="2"/>
        <v/>
      </c>
      <c r="K13" s="28"/>
      <c r="L13" s="27"/>
    </row>
    <row r="14" spans="1:12" ht="30" customHeight="1">
      <c r="A14" s="26" t="str">
        <f t="shared" si="0"/>
        <v/>
      </c>
      <c r="B14" s="27"/>
      <c r="C14" s="30" t="str">
        <f>IF(B14="","",IFERROR(INDEX('الأهداف الاستراتيجية'!$B$3:$B$26,MATCH(B14,'الأهداف الاستراتيجية'!$A$3:$A$26,0)),""))</f>
        <v/>
      </c>
      <c r="D14" s="20"/>
      <c r="E14" s="27"/>
      <c r="F14" s="27"/>
      <c r="G14" s="27"/>
      <c r="H14" s="27"/>
      <c r="I14" s="30" t="str">
        <f t="shared" si="1"/>
        <v/>
      </c>
      <c r="J14" s="30" t="str">
        <f t="shared" si="2"/>
        <v/>
      </c>
      <c r="K14" s="28"/>
      <c r="L14" s="27"/>
    </row>
    <row r="15" spans="1:12" ht="30" customHeight="1">
      <c r="A15" s="26" t="str">
        <f t="shared" si="0"/>
        <v/>
      </c>
      <c r="B15" s="27"/>
      <c r="C15" s="30" t="str">
        <f>IF(B15="","",IFERROR(INDEX('الأهداف الاستراتيجية'!$B$3:$B$26,MATCH(B15,'الأهداف الاستراتيجية'!$A$3:$A$26,0)),""))</f>
        <v/>
      </c>
      <c r="D15" s="20"/>
      <c r="E15" s="27"/>
      <c r="F15" s="27"/>
      <c r="G15" s="27"/>
      <c r="H15" s="27"/>
      <c r="I15" s="30" t="str">
        <f t="shared" si="1"/>
        <v/>
      </c>
      <c r="J15" s="30" t="str">
        <f t="shared" si="2"/>
        <v/>
      </c>
      <c r="K15" s="28"/>
      <c r="L15" s="27"/>
    </row>
    <row r="16" spans="1:12" ht="30" customHeight="1">
      <c r="A16" s="26" t="str">
        <f t="shared" si="0"/>
        <v/>
      </c>
      <c r="B16" s="27"/>
      <c r="C16" s="30" t="str">
        <f>IF(B16="","",IFERROR(INDEX('الأهداف الاستراتيجية'!$B$3:$B$26,MATCH(B16,'الأهداف الاستراتيجية'!$A$3:$A$26,0)),""))</f>
        <v/>
      </c>
      <c r="D16" s="20"/>
      <c r="E16" s="27"/>
      <c r="F16" s="27"/>
      <c r="G16" s="27"/>
      <c r="H16" s="27"/>
      <c r="I16" s="30" t="str">
        <f t="shared" si="1"/>
        <v/>
      </c>
      <c r="J16" s="30" t="str">
        <f t="shared" si="2"/>
        <v/>
      </c>
      <c r="K16" s="28"/>
      <c r="L16" s="27"/>
    </row>
    <row r="17" spans="1:12" ht="30" customHeight="1">
      <c r="A17" s="26" t="str">
        <f t="shared" si="0"/>
        <v/>
      </c>
      <c r="B17" s="27"/>
      <c r="C17" s="30" t="str">
        <f>IF(B17="","",IFERROR(INDEX('الأهداف الاستراتيجية'!$B$3:$B$26,MATCH(B17,'الأهداف الاستراتيجية'!$A$3:$A$26,0)),""))</f>
        <v/>
      </c>
      <c r="D17" s="20"/>
      <c r="E17" s="27"/>
      <c r="F17" s="27"/>
      <c r="G17" s="27"/>
      <c r="H17" s="27"/>
      <c r="I17" s="30" t="str">
        <f t="shared" si="1"/>
        <v/>
      </c>
      <c r="J17" s="30" t="str">
        <f t="shared" si="2"/>
        <v/>
      </c>
      <c r="K17" s="28"/>
      <c r="L17" s="27"/>
    </row>
    <row r="18" spans="1:12" ht="30" customHeight="1">
      <c r="A18" s="26" t="str">
        <f t="shared" si="0"/>
        <v/>
      </c>
      <c r="B18" s="27"/>
      <c r="C18" s="30" t="str">
        <f>IF(B18="","",IFERROR(INDEX('الأهداف الاستراتيجية'!$B$3:$B$26,MATCH(B18,'الأهداف الاستراتيجية'!$A$3:$A$26,0)),""))</f>
        <v/>
      </c>
      <c r="D18" s="20"/>
      <c r="E18" s="27"/>
      <c r="F18" s="27"/>
      <c r="G18" s="27"/>
      <c r="H18" s="27"/>
      <c r="I18" s="30" t="str">
        <f t="shared" si="1"/>
        <v/>
      </c>
      <c r="J18" s="30" t="str">
        <f t="shared" si="2"/>
        <v/>
      </c>
      <c r="K18" s="28"/>
      <c r="L18" s="27"/>
    </row>
    <row r="19" spans="1:12" ht="30" customHeight="1">
      <c r="A19" s="26" t="str">
        <f t="shared" si="0"/>
        <v/>
      </c>
      <c r="B19" s="27"/>
      <c r="C19" s="30" t="str">
        <f>IF(B19="","",IFERROR(INDEX('الأهداف الاستراتيجية'!$B$3:$B$26,MATCH(B19,'الأهداف الاستراتيجية'!$A$3:$A$26,0)),""))</f>
        <v/>
      </c>
      <c r="D19" s="20"/>
      <c r="E19" s="27"/>
      <c r="F19" s="27"/>
      <c r="G19" s="27"/>
      <c r="H19" s="27"/>
      <c r="I19" s="30" t="str">
        <f t="shared" si="1"/>
        <v/>
      </c>
      <c r="J19" s="30" t="str">
        <f t="shared" si="2"/>
        <v/>
      </c>
      <c r="K19" s="28"/>
      <c r="L19" s="27"/>
    </row>
    <row r="20" spans="1:12" ht="30" customHeight="1">
      <c r="A20" s="26" t="str">
        <f t="shared" si="0"/>
        <v/>
      </c>
      <c r="B20" s="27"/>
      <c r="C20" s="30" t="str">
        <f>IF(B20="","",IFERROR(INDEX('الأهداف الاستراتيجية'!$B$3:$B$26,MATCH(B20,'الأهداف الاستراتيجية'!$A$3:$A$26,0)),""))</f>
        <v/>
      </c>
      <c r="D20" s="20"/>
      <c r="E20" s="27"/>
      <c r="F20" s="27"/>
      <c r="G20" s="27"/>
      <c r="H20" s="27"/>
      <c r="I20" s="30" t="str">
        <f t="shared" si="1"/>
        <v/>
      </c>
      <c r="J20" s="30" t="str">
        <f t="shared" si="2"/>
        <v/>
      </c>
      <c r="K20" s="28"/>
      <c r="L20" s="27"/>
    </row>
    <row r="21" spans="1:12" ht="30" customHeight="1">
      <c r="A21" s="26" t="str">
        <f t="shared" si="0"/>
        <v/>
      </c>
      <c r="B21" s="27"/>
      <c r="C21" s="30" t="str">
        <f>IF(B21="","",IFERROR(INDEX('الأهداف الاستراتيجية'!$B$3:$B$26,MATCH(B21,'الأهداف الاستراتيجية'!$A$3:$A$26,0)),""))</f>
        <v/>
      </c>
      <c r="D21" s="20"/>
      <c r="E21" s="27"/>
      <c r="F21" s="27"/>
      <c r="G21" s="27"/>
      <c r="H21" s="27"/>
      <c r="I21" s="30" t="str">
        <f t="shared" si="1"/>
        <v/>
      </c>
      <c r="J21" s="30" t="str">
        <f t="shared" si="2"/>
        <v/>
      </c>
      <c r="K21" s="28"/>
      <c r="L21" s="27"/>
    </row>
    <row r="22" spans="1:12" ht="30" customHeight="1">
      <c r="A22" s="26" t="str">
        <f t="shared" si="0"/>
        <v/>
      </c>
      <c r="B22" s="27"/>
      <c r="C22" s="30" t="str">
        <f>IF(B22="","",IFERROR(INDEX('الأهداف الاستراتيجية'!$B$3:$B$26,MATCH(B22,'الأهداف الاستراتيجية'!$A$3:$A$26,0)),""))</f>
        <v/>
      </c>
      <c r="D22" s="20"/>
      <c r="E22" s="27"/>
      <c r="F22" s="27"/>
      <c r="G22" s="27"/>
      <c r="H22" s="27"/>
      <c r="I22" s="30" t="str">
        <f t="shared" si="1"/>
        <v/>
      </c>
      <c r="J22" s="30" t="str">
        <f t="shared" si="2"/>
        <v/>
      </c>
      <c r="K22" s="28"/>
      <c r="L22" s="27"/>
    </row>
    <row r="23" spans="1:12" ht="30" customHeight="1">
      <c r="A23" s="26" t="str">
        <f t="shared" si="0"/>
        <v/>
      </c>
      <c r="B23" s="27"/>
      <c r="C23" s="30" t="str">
        <f>IF(B23="","",IFERROR(INDEX('الأهداف الاستراتيجية'!$B$3:$B$26,MATCH(B23,'الأهداف الاستراتيجية'!$A$3:$A$26,0)),""))</f>
        <v/>
      </c>
      <c r="D23" s="20"/>
      <c r="E23" s="27"/>
      <c r="F23" s="27"/>
      <c r="G23" s="27"/>
      <c r="H23" s="27"/>
      <c r="I23" s="30" t="str">
        <f t="shared" si="1"/>
        <v/>
      </c>
      <c r="J23" s="30" t="str">
        <f t="shared" si="2"/>
        <v/>
      </c>
      <c r="K23" s="28"/>
      <c r="L23" s="27"/>
    </row>
    <row r="24" spans="1:12" ht="30" customHeight="1">
      <c r="A24" s="26" t="str">
        <f t="shared" si="0"/>
        <v/>
      </c>
      <c r="B24" s="27"/>
      <c r="C24" s="30" t="str">
        <f>IF(B24="","",IFERROR(INDEX('الأهداف الاستراتيجية'!$B$3:$B$26,MATCH(B24,'الأهداف الاستراتيجية'!$A$3:$A$26,0)),""))</f>
        <v/>
      </c>
      <c r="D24" s="20"/>
      <c r="E24" s="27"/>
      <c r="F24" s="27"/>
      <c r="G24" s="27"/>
      <c r="H24" s="27"/>
      <c r="I24" s="30" t="str">
        <f t="shared" si="1"/>
        <v/>
      </c>
      <c r="J24" s="30" t="str">
        <f t="shared" si="2"/>
        <v/>
      </c>
      <c r="K24" s="28"/>
      <c r="L24" s="27"/>
    </row>
    <row r="25" spans="1:12" ht="30" customHeight="1">
      <c r="A25" s="26" t="str">
        <f t="shared" si="0"/>
        <v/>
      </c>
      <c r="B25" s="27"/>
      <c r="C25" s="30" t="str">
        <f>IF(B25="","",IFERROR(INDEX('الأهداف الاستراتيجية'!$B$3:$B$26,MATCH(B25,'الأهداف الاستراتيجية'!$A$3:$A$26,0)),""))</f>
        <v/>
      </c>
      <c r="D25" s="20"/>
      <c r="E25" s="27"/>
      <c r="F25" s="27"/>
      <c r="G25" s="27"/>
      <c r="H25" s="27"/>
      <c r="I25" s="30" t="str">
        <f t="shared" si="1"/>
        <v/>
      </c>
      <c r="J25" s="30" t="str">
        <f t="shared" si="2"/>
        <v/>
      </c>
      <c r="K25" s="28"/>
      <c r="L25" s="27"/>
    </row>
    <row r="26" spans="1:12" ht="30" customHeight="1">
      <c r="A26" s="26" t="str">
        <f t="shared" si="0"/>
        <v/>
      </c>
      <c r="B26" s="27"/>
      <c r="C26" s="30" t="str">
        <f>IF(B26="","",IFERROR(INDEX('الأهداف الاستراتيجية'!$B$3:$B$26,MATCH(B26,'الأهداف الاستراتيجية'!$A$3:$A$26,0)),""))</f>
        <v/>
      </c>
      <c r="D26" s="20"/>
      <c r="E26" s="27"/>
      <c r="F26" s="27"/>
      <c r="G26" s="27"/>
      <c r="H26" s="27"/>
      <c r="I26" s="30" t="str">
        <f t="shared" si="1"/>
        <v/>
      </c>
      <c r="J26" s="30" t="str">
        <f t="shared" si="2"/>
        <v/>
      </c>
      <c r="K26" s="28"/>
      <c r="L26" s="27"/>
    </row>
    <row r="27" spans="1:12" ht="30" customHeight="1">
      <c r="A27" s="26" t="str">
        <f t="shared" si="0"/>
        <v/>
      </c>
      <c r="B27" s="27"/>
      <c r="C27" s="30" t="str">
        <f>IF(B27="","",IFERROR(INDEX('الأهداف الاستراتيجية'!$B$3:$B$26,MATCH(B27,'الأهداف الاستراتيجية'!$A$3:$A$26,0)),""))</f>
        <v/>
      </c>
      <c r="D27" s="20"/>
      <c r="E27" s="27"/>
      <c r="F27" s="27"/>
      <c r="G27" s="27"/>
      <c r="H27" s="27"/>
      <c r="I27" s="30" t="str">
        <f t="shared" si="1"/>
        <v/>
      </c>
      <c r="J27" s="30" t="str">
        <f t="shared" si="2"/>
        <v/>
      </c>
      <c r="K27" s="28"/>
      <c r="L27" s="27"/>
    </row>
    <row r="28" spans="1:12" ht="30" customHeight="1">
      <c r="A28" s="26" t="str">
        <f t="shared" si="0"/>
        <v/>
      </c>
      <c r="B28" s="27"/>
      <c r="C28" s="30" t="str">
        <f>IF(B28="","",IFERROR(INDEX('الأهداف الاستراتيجية'!$B$3:$B$26,MATCH(B28,'الأهداف الاستراتيجية'!$A$3:$A$26,0)),""))</f>
        <v/>
      </c>
      <c r="D28" s="20"/>
      <c r="E28" s="27"/>
      <c r="F28" s="27"/>
      <c r="G28" s="27"/>
      <c r="H28" s="27"/>
      <c r="I28" s="30" t="str">
        <f t="shared" si="1"/>
        <v/>
      </c>
      <c r="J28" s="30" t="str">
        <f t="shared" si="2"/>
        <v/>
      </c>
      <c r="K28" s="28"/>
      <c r="L28" s="27"/>
    </row>
    <row r="29" spans="1:12" ht="30" customHeight="1">
      <c r="A29" s="26" t="str">
        <f t="shared" si="0"/>
        <v/>
      </c>
      <c r="B29" s="27"/>
      <c r="C29" s="30" t="str">
        <f>IF(B29="","",IFERROR(INDEX('الأهداف الاستراتيجية'!$B$3:$B$26,MATCH(B29,'الأهداف الاستراتيجية'!$A$3:$A$26,0)),""))</f>
        <v/>
      </c>
      <c r="D29" s="20"/>
      <c r="E29" s="27"/>
      <c r="F29" s="27"/>
      <c r="G29" s="27"/>
      <c r="H29" s="27"/>
      <c r="I29" s="30" t="str">
        <f t="shared" si="1"/>
        <v/>
      </c>
      <c r="J29" s="30" t="str">
        <f t="shared" si="2"/>
        <v/>
      </c>
      <c r="K29" s="28"/>
      <c r="L29" s="27"/>
    </row>
    <row r="30" spans="1:12" ht="30" customHeight="1">
      <c r="A30" s="26" t="str">
        <f t="shared" si="0"/>
        <v/>
      </c>
      <c r="B30" s="27"/>
      <c r="C30" s="30" t="str">
        <f>IF(B30="","",IFERROR(INDEX('الأهداف الاستراتيجية'!$B$3:$B$26,MATCH(B30,'الأهداف الاستراتيجية'!$A$3:$A$26,0)),""))</f>
        <v/>
      </c>
      <c r="D30" s="20"/>
      <c r="E30" s="27"/>
      <c r="F30" s="27"/>
      <c r="G30" s="27"/>
      <c r="H30" s="27"/>
      <c r="I30" s="30" t="str">
        <f t="shared" si="1"/>
        <v/>
      </c>
      <c r="J30" s="30" t="str">
        <f t="shared" si="2"/>
        <v/>
      </c>
      <c r="K30" s="28"/>
      <c r="L30" s="27"/>
    </row>
    <row r="31" spans="1:12" ht="30" customHeight="1">
      <c r="A31" s="26" t="str">
        <f t="shared" si="0"/>
        <v/>
      </c>
      <c r="B31" s="27"/>
      <c r="C31" s="30" t="str">
        <f>IF(B31="","",IFERROR(INDEX('الأهداف الاستراتيجية'!$B$3:$B$26,MATCH(B31,'الأهداف الاستراتيجية'!$A$3:$A$26,0)),""))</f>
        <v/>
      </c>
      <c r="D31" s="20"/>
      <c r="E31" s="27"/>
      <c r="F31" s="27"/>
      <c r="G31" s="27"/>
      <c r="H31" s="27"/>
      <c r="I31" s="30" t="str">
        <f t="shared" si="1"/>
        <v/>
      </c>
      <c r="J31" s="30" t="str">
        <f t="shared" si="2"/>
        <v/>
      </c>
      <c r="K31" s="28"/>
      <c r="L31" s="27"/>
    </row>
    <row r="32" spans="1:12" ht="30" customHeight="1">
      <c r="A32" s="26" t="str">
        <f t="shared" si="0"/>
        <v/>
      </c>
      <c r="B32" s="27"/>
      <c r="C32" s="30" t="str">
        <f>IF(B32="","",IFERROR(INDEX('الأهداف الاستراتيجية'!$B$3:$B$26,MATCH(B32,'الأهداف الاستراتيجية'!$A$3:$A$26,0)),""))</f>
        <v/>
      </c>
      <c r="D32" s="20"/>
      <c r="E32" s="27"/>
      <c r="F32" s="27"/>
      <c r="G32" s="27"/>
      <c r="H32" s="27"/>
      <c r="I32" s="30" t="str">
        <f t="shared" si="1"/>
        <v/>
      </c>
      <c r="J32" s="30" t="str">
        <f t="shared" si="2"/>
        <v/>
      </c>
      <c r="K32" s="28"/>
      <c r="L32" s="27"/>
    </row>
  </sheetData>
  <mergeCells count="1">
    <mergeCell ref="A1:L1"/>
  </mergeCells>
  <conditionalFormatting sqref="J3:J32">
    <cfRule type="cellIs" dxfId="18" priority="2" operator="equal">
      <formula>"حرج"</formula>
    </cfRule>
    <cfRule type="cellIs" dxfId="17" priority="3" operator="equal">
      <formula>"عالي"</formula>
    </cfRule>
    <cfRule type="cellIs" dxfId="16" priority="4" operator="equal">
      <formula>"متوسط"</formula>
    </cfRule>
    <cfRule type="cellIs" dxfId="15" priority="5" operator="equal">
      <formula>"منخفض"</formula>
    </cfRule>
  </conditionalFormatting>
  <dataValidations count="3">
    <dataValidation type="list" allowBlank="1" sqref="E3:E32" xr:uid="{00000000-0002-0000-0300-000001000000}">
      <formula1>"تشغيلي,مالي,امتثال,سيبراني,سمعة,استراتيجي"</formula1>
      <formula2>0</formula2>
    </dataValidation>
    <dataValidation type="list" allowBlank="1" sqref="G3:H32" xr:uid="{00000000-0002-0000-0300-000002000000}">
      <formula1>"1,2,3,4,5"</formula1>
      <formula2>0</formula2>
    </dataValidation>
    <dataValidation type="list" allowBlank="1" sqref="L3:L32" xr:uid="{00000000-0002-0000-0300-000003000000}">
      <formula1>"مفتوح,تحت المعالجة,مغلق"</formula1>
      <formula2>0</formula2>
    </dataValidation>
  </dataValidations>
  <pageMargins left="0.3" right="0.3" top="0.4" bottom="0.4"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1">
        <x14:dataValidation type="list" allowBlank="1" xr:uid="{00000000-0002-0000-0300-000000000000}">
          <x14:formula1>
            <xm:f>'الأهداف الاستراتيجية'!$A$3:$A$26</xm:f>
          </x14:formula1>
          <x14:formula2>
            <xm:f>0</xm:f>
          </x14:formula2>
          <xm:sqref>B3:B32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2"/>
  <sheetViews>
    <sheetView rightToLeft="1" tabSelected="1" zoomScaleNormal="100" workbookViewId="0">
      <pane ySplit="2" topLeftCell="A3" activePane="bottomLeft" state="frozen"/>
      <selection pane="bottomLeft" activeCell="M5" sqref="M5"/>
    </sheetView>
  </sheetViews>
  <sheetFormatPr defaultColWidth="8.6328125" defaultRowHeight="14.5"/>
  <cols>
    <col min="1" max="1" width="13" customWidth="1"/>
    <col min="2" max="2" width="15" customWidth="1"/>
    <col min="3" max="3" width="26" customWidth="1"/>
    <col min="4" max="4" width="36" customWidth="1"/>
    <col min="5" max="6" width="13" customWidth="1"/>
    <col min="7" max="7" width="18" customWidth="1"/>
    <col min="8" max="8" width="15" customWidth="1"/>
  </cols>
  <sheetData>
    <row r="1" spans="1:8" ht="27.75" customHeight="1">
      <c r="A1" s="52" t="s">
        <v>113</v>
      </c>
      <c r="B1" s="52"/>
      <c r="C1" s="52"/>
      <c r="D1" s="52"/>
      <c r="E1" s="52"/>
      <c r="F1" s="52"/>
      <c r="G1" s="52"/>
      <c r="H1" s="52"/>
    </row>
    <row r="2" spans="1:8" ht="42" customHeight="1">
      <c r="A2" s="18" t="s">
        <v>114</v>
      </c>
      <c r="B2" s="18" t="s">
        <v>115</v>
      </c>
      <c r="C2" s="18" t="s">
        <v>116</v>
      </c>
      <c r="D2" s="18" t="s">
        <v>117</v>
      </c>
      <c r="E2" s="18" t="s">
        <v>118</v>
      </c>
      <c r="F2" s="18" t="s">
        <v>119</v>
      </c>
      <c r="G2" s="18" t="s">
        <v>120</v>
      </c>
      <c r="H2" s="18" t="s">
        <v>121</v>
      </c>
    </row>
    <row r="3" spans="1:8" ht="30" customHeight="1">
      <c r="A3" s="22" t="str">
        <f t="shared" ref="A3:A32" si="0">IF(D3="","","CTRL-"&amp;TEXT(ROW()-2,"000"))</f>
        <v>CTRL-001</v>
      </c>
      <c r="B3" s="29" t="s">
        <v>122</v>
      </c>
      <c r="C3" s="23" t="str">
        <f>IF(B3="","",IFERROR(INDEX('سجل المخاطر'!$D$3:$D$32,MATCH(B3,'سجل المخاطر'!$A$3:$A$32,0)),""))</f>
        <v>تأخر تسليم منصة LiveGRC السحابية عن الجدول الزمني المخطط</v>
      </c>
      <c r="D3" s="23" t="s">
        <v>123</v>
      </c>
      <c r="E3" s="24" t="s">
        <v>124</v>
      </c>
      <c r="F3" s="24" t="s">
        <v>125</v>
      </c>
      <c r="G3" s="24" t="s">
        <v>126</v>
      </c>
      <c r="H3" s="25">
        <v>46213</v>
      </c>
    </row>
    <row r="4" spans="1:8" ht="30" customHeight="1">
      <c r="A4" s="22" t="str">
        <f t="shared" si="0"/>
        <v>CTRL-002</v>
      </c>
      <c r="B4" s="29" t="s">
        <v>127</v>
      </c>
      <c r="C4" s="23" t="str">
        <f>IF(B4="","",IFERROR(INDEX('سجل المخاطر'!$D$3:$D$32,MATCH(B4,'سجل المخاطر'!$A$3:$A$32,0)),""))</f>
        <v>اختراق سيبراني يؤدي إلى توقف تشغيلي للمنصة</v>
      </c>
      <c r="D4" s="23" t="s">
        <v>128</v>
      </c>
      <c r="E4" s="24" t="s">
        <v>129</v>
      </c>
      <c r="F4" s="24" t="s">
        <v>130</v>
      </c>
      <c r="G4" s="24" t="s">
        <v>106</v>
      </c>
      <c r="H4" s="25">
        <v>46193</v>
      </c>
    </row>
    <row r="5" spans="1:8" ht="30" customHeight="1">
      <c r="A5" s="22" t="str">
        <f t="shared" si="0"/>
        <v>CTRL-003</v>
      </c>
      <c r="B5" s="29" t="s">
        <v>131</v>
      </c>
      <c r="C5" s="23" t="str">
        <f>IF(B5="","",IFERROR(INDEX('سجل المخاطر'!$D$3:$D$32,MATCH(B5,'سجل المخاطر'!$A$3:$A$32,0)),""))</f>
        <v>عدم التزام أحد الموردين بمتطلبات حماية البيانات</v>
      </c>
      <c r="D5" s="23" t="s">
        <v>132</v>
      </c>
      <c r="E5" s="24" t="s">
        <v>124</v>
      </c>
      <c r="F5" s="24" t="s">
        <v>125</v>
      </c>
      <c r="G5" s="24" t="s">
        <v>75</v>
      </c>
      <c r="H5" s="25">
        <v>46167</v>
      </c>
    </row>
    <row r="6" spans="1:8" ht="30" customHeight="1">
      <c r="A6" s="22" t="str">
        <f t="shared" si="0"/>
        <v>CTRL-004</v>
      </c>
      <c r="B6" s="29" t="s">
        <v>133</v>
      </c>
      <c r="C6" s="23" t="str">
        <f>IF(B6="","",IFERROR(INDEX('سجل المخاطر'!$D$3:$D$32,MATCH(B6,'سجل المخاطر'!$A$3:$A$32,0)),""))</f>
        <v>تسرب معلومات عملاء يؤثر على الثقة المؤسسية</v>
      </c>
      <c r="D6" s="23" t="s">
        <v>134</v>
      </c>
      <c r="E6" s="24" t="s">
        <v>124</v>
      </c>
      <c r="F6" s="24" t="s">
        <v>125</v>
      </c>
      <c r="G6" s="24" t="s">
        <v>106</v>
      </c>
      <c r="H6" s="25">
        <v>46127</v>
      </c>
    </row>
    <row r="7" spans="1:8" ht="30" customHeight="1">
      <c r="A7" s="22" t="str">
        <f t="shared" si="0"/>
        <v>CTRL-005</v>
      </c>
      <c r="B7" s="29" t="s">
        <v>135</v>
      </c>
      <c r="C7" s="23" t="str">
        <f>IF(B7="","",IFERROR(INDEX('سجل المخاطر'!$D$3:$D$32,MATCH(B7,'سجل المخاطر'!$A$3:$A$32,0)),""))</f>
        <v>بطء دورة المبيعات مقارنة بالمنافسين</v>
      </c>
      <c r="D7" s="23" t="s">
        <v>136</v>
      </c>
      <c r="E7" s="24" t="s">
        <v>129</v>
      </c>
      <c r="F7" s="24" t="s">
        <v>130</v>
      </c>
      <c r="G7" s="24" t="s">
        <v>109</v>
      </c>
      <c r="H7" s="25">
        <v>46091</v>
      </c>
    </row>
    <row r="8" spans="1:8" ht="30" customHeight="1">
      <c r="A8" s="22" t="str">
        <f t="shared" si="0"/>
        <v>CTRL-006</v>
      </c>
      <c r="B8" s="29" t="s">
        <v>137</v>
      </c>
      <c r="C8" s="23" t="str">
        <f>IF(B8="","",IFERROR(INDEX('سجل المخاطر'!$D$3:$D$32,MATCH(B8,'سجل المخاطر'!$A$3:$A$32,0)),""))</f>
        <v>اعتماد مفرط على مزود استضافة سحابي واحد دون بديل</v>
      </c>
      <c r="D8" s="23" t="s">
        <v>138</v>
      </c>
      <c r="E8" s="24" t="s">
        <v>139</v>
      </c>
      <c r="F8" s="24" t="s">
        <v>140</v>
      </c>
      <c r="G8" s="24" t="s">
        <v>111</v>
      </c>
      <c r="H8" s="25">
        <v>46058</v>
      </c>
    </row>
    <row r="9" spans="1:8" ht="30" customHeight="1">
      <c r="A9" s="26" t="str">
        <f t="shared" si="0"/>
        <v/>
      </c>
      <c r="B9" s="27"/>
      <c r="C9" s="31" t="str">
        <f>IF(B9="","",IFERROR(INDEX('سجل المخاطر'!$D$3:$D$32,MATCH(B9,'سجل المخاطر'!$A$3:$A$32,0)),""))</f>
        <v/>
      </c>
      <c r="D9" s="20"/>
      <c r="E9" s="27"/>
      <c r="F9" s="27"/>
      <c r="G9" s="27"/>
      <c r="H9" s="28"/>
    </row>
    <row r="10" spans="1:8" ht="30" customHeight="1">
      <c r="A10" s="26" t="str">
        <f t="shared" si="0"/>
        <v/>
      </c>
      <c r="B10" s="27"/>
      <c r="C10" s="31" t="str">
        <f>IF(B10="","",IFERROR(INDEX('سجل المخاطر'!$D$3:$D$32,MATCH(B10,'سجل المخاطر'!$A$3:$A$32,0)),""))</f>
        <v/>
      </c>
      <c r="D10" s="20"/>
      <c r="E10" s="27"/>
      <c r="F10" s="27"/>
      <c r="G10" s="27"/>
      <c r="H10" s="28"/>
    </row>
    <row r="11" spans="1:8" ht="30" customHeight="1">
      <c r="A11" s="26" t="str">
        <f t="shared" si="0"/>
        <v/>
      </c>
      <c r="B11" s="27"/>
      <c r="C11" s="31" t="str">
        <f>IF(B11="","",IFERROR(INDEX('سجل المخاطر'!$D$3:$D$32,MATCH(B11,'سجل المخاطر'!$A$3:$A$32,0)),""))</f>
        <v/>
      </c>
      <c r="D11" s="20"/>
      <c r="E11" s="27"/>
      <c r="F11" s="27"/>
      <c r="G11" s="27"/>
      <c r="H11" s="28"/>
    </row>
    <row r="12" spans="1:8" ht="30" customHeight="1">
      <c r="A12" s="26" t="str">
        <f t="shared" si="0"/>
        <v/>
      </c>
      <c r="B12" s="27"/>
      <c r="C12" s="31" t="str">
        <f>IF(B12="","",IFERROR(INDEX('سجل المخاطر'!$D$3:$D$32,MATCH(B12,'سجل المخاطر'!$A$3:$A$32,0)),""))</f>
        <v/>
      </c>
      <c r="D12" s="20"/>
      <c r="E12" s="27"/>
      <c r="F12" s="27"/>
      <c r="G12" s="27"/>
      <c r="H12" s="28"/>
    </row>
    <row r="13" spans="1:8" ht="30" customHeight="1">
      <c r="A13" s="26" t="str">
        <f t="shared" si="0"/>
        <v/>
      </c>
      <c r="B13" s="27"/>
      <c r="C13" s="31" t="str">
        <f>IF(B13="","",IFERROR(INDEX('سجل المخاطر'!$D$3:$D$32,MATCH(B13,'سجل المخاطر'!$A$3:$A$32,0)),""))</f>
        <v/>
      </c>
      <c r="D13" s="20"/>
      <c r="E13" s="27"/>
      <c r="F13" s="27"/>
      <c r="G13" s="27"/>
      <c r="H13" s="28"/>
    </row>
    <row r="14" spans="1:8" ht="30" customHeight="1">
      <c r="A14" s="26" t="str">
        <f t="shared" si="0"/>
        <v/>
      </c>
      <c r="B14" s="27"/>
      <c r="C14" s="31" t="str">
        <f>IF(B14="","",IFERROR(INDEX('سجل المخاطر'!$D$3:$D$32,MATCH(B14,'سجل المخاطر'!$A$3:$A$32,0)),""))</f>
        <v/>
      </c>
      <c r="D14" s="20"/>
      <c r="E14" s="27"/>
      <c r="F14" s="27"/>
      <c r="G14" s="27"/>
      <c r="H14" s="28"/>
    </row>
    <row r="15" spans="1:8" ht="30" customHeight="1">
      <c r="A15" s="26" t="str">
        <f t="shared" si="0"/>
        <v/>
      </c>
      <c r="B15" s="27"/>
      <c r="C15" s="31" t="str">
        <f>IF(B15="","",IFERROR(INDEX('سجل المخاطر'!$D$3:$D$32,MATCH(B15,'سجل المخاطر'!$A$3:$A$32,0)),""))</f>
        <v/>
      </c>
      <c r="D15" s="20"/>
      <c r="E15" s="27"/>
      <c r="F15" s="27"/>
      <c r="G15" s="27"/>
      <c r="H15" s="28"/>
    </row>
    <row r="16" spans="1:8" ht="30" customHeight="1">
      <c r="A16" s="26" t="str">
        <f t="shared" si="0"/>
        <v/>
      </c>
      <c r="B16" s="27"/>
      <c r="C16" s="31" t="str">
        <f>IF(B16="","",IFERROR(INDEX('سجل المخاطر'!$D$3:$D$32,MATCH(B16,'سجل المخاطر'!$A$3:$A$32,0)),""))</f>
        <v/>
      </c>
      <c r="D16" s="20"/>
      <c r="E16" s="27"/>
      <c r="F16" s="27"/>
      <c r="G16" s="27"/>
      <c r="H16" s="28"/>
    </row>
    <row r="17" spans="1:8" ht="30" customHeight="1">
      <c r="A17" s="26" t="str">
        <f t="shared" si="0"/>
        <v/>
      </c>
      <c r="B17" s="27"/>
      <c r="C17" s="31" t="str">
        <f>IF(B17="","",IFERROR(INDEX('سجل المخاطر'!$D$3:$D$32,MATCH(B17,'سجل المخاطر'!$A$3:$A$32,0)),""))</f>
        <v/>
      </c>
      <c r="D17" s="20"/>
      <c r="E17" s="27"/>
      <c r="F17" s="27"/>
      <c r="G17" s="27"/>
      <c r="H17" s="28"/>
    </row>
    <row r="18" spans="1:8" ht="30" customHeight="1">
      <c r="A18" s="26" t="str">
        <f t="shared" si="0"/>
        <v/>
      </c>
      <c r="B18" s="27"/>
      <c r="C18" s="31" t="str">
        <f>IF(B18="","",IFERROR(INDEX('سجل المخاطر'!$D$3:$D$32,MATCH(B18,'سجل المخاطر'!$A$3:$A$32,0)),""))</f>
        <v/>
      </c>
      <c r="D18" s="20"/>
      <c r="E18" s="27"/>
      <c r="F18" s="27"/>
      <c r="G18" s="27"/>
      <c r="H18" s="28"/>
    </row>
    <row r="19" spans="1:8" ht="30" customHeight="1">
      <c r="A19" s="26" t="str">
        <f t="shared" si="0"/>
        <v/>
      </c>
      <c r="B19" s="27"/>
      <c r="C19" s="31" t="str">
        <f>IF(B19="","",IFERROR(INDEX('سجل المخاطر'!$D$3:$D$32,MATCH(B19,'سجل المخاطر'!$A$3:$A$32,0)),""))</f>
        <v/>
      </c>
      <c r="D19" s="20"/>
      <c r="E19" s="27"/>
      <c r="F19" s="27"/>
      <c r="G19" s="27"/>
      <c r="H19" s="28"/>
    </row>
    <row r="20" spans="1:8" ht="30" customHeight="1">
      <c r="A20" s="26" t="str">
        <f t="shared" si="0"/>
        <v/>
      </c>
      <c r="B20" s="27"/>
      <c r="C20" s="31" t="str">
        <f>IF(B20="","",IFERROR(INDEX('سجل المخاطر'!$D$3:$D$32,MATCH(B20,'سجل المخاطر'!$A$3:$A$32,0)),""))</f>
        <v/>
      </c>
      <c r="D20" s="20"/>
      <c r="E20" s="27"/>
      <c r="F20" s="27"/>
      <c r="G20" s="27"/>
      <c r="H20" s="28"/>
    </row>
    <row r="21" spans="1:8" ht="30" customHeight="1">
      <c r="A21" s="26" t="str">
        <f t="shared" si="0"/>
        <v/>
      </c>
      <c r="B21" s="27"/>
      <c r="C21" s="31" t="str">
        <f>IF(B21="","",IFERROR(INDEX('سجل المخاطر'!$D$3:$D$32,MATCH(B21,'سجل المخاطر'!$A$3:$A$32,0)),""))</f>
        <v/>
      </c>
      <c r="D21" s="20"/>
      <c r="E21" s="27"/>
      <c r="F21" s="27"/>
      <c r="G21" s="27"/>
      <c r="H21" s="28"/>
    </row>
    <row r="22" spans="1:8" ht="30" customHeight="1">
      <c r="A22" s="26" t="str">
        <f t="shared" si="0"/>
        <v/>
      </c>
      <c r="B22" s="27"/>
      <c r="C22" s="31" t="str">
        <f>IF(B22="","",IFERROR(INDEX('سجل المخاطر'!$D$3:$D$32,MATCH(B22,'سجل المخاطر'!$A$3:$A$32,0)),""))</f>
        <v/>
      </c>
      <c r="D22" s="20"/>
      <c r="E22" s="27"/>
      <c r="F22" s="27"/>
      <c r="G22" s="27"/>
      <c r="H22" s="28"/>
    </row>
    <row r="23" spans="1:8" ht="30" customHeight="1">
      <c r="A23" s="26" t="str">
        <f t="shared" si="0"/>
        <v/>
      </c>
      <c r="B23" s="27"/>
      <c r="C23" s="31" t="str">
        <f>IF(B23="","",IFERROR(INDEX('سجل المخاطر'!$D$3:$D$32,MATCH(B23,'سجل المخاطر'!$A$3:$A$32,0)),""))</f>
        <v/>
      </c>
      <c r="D23" s="20"/>
      <c r="E23" s="27"/>
      <c r="F23" s="27"/>
      <c r="G23" s="27"/>
      <c r="H23" s="28"/>
    </row>
    <row r="24" spans="1:8" ht="30" customHeight="1">
      <c r="A24" s="26" t="str">
        <f t="shared" si="0"/>
        <v/>
      </c>
      <c r="B24" s="27"/>
      <c r="C24" s="31" t="str">
        <f>IF(B24="","",IFERROR(INDEX('سجل المخاطر'!$D$3:$D$32,MATCH(B24,'سجل المخاطر'!$A$3:$A$32,0)),""))</f>
        <v/>
      </c>
      <c r="D24" s="20"/>
      <c r="E24" s="27"/>
      <c r="F24" s="27"/>
      <c r="G24" s="27"/>
      <c r="H24" s="28"/>
    </row>
    <row r="25" spans="1:8" ht="30" customHeight="1">
      <c r="A25" s="26" t="str">
        <f t="shared" si="0"/>
        <v/>
      </c>
      <c r="B25" s="27"/>
      <c r="C25" s="31" t="str">
        <f>IF(B25="","",IFERROR(INDEX('سجل المخاطر'!$D$3:$D$32,MATCH(B25,'سجل المخاطر'!$A$3:$A$32,0)),""))</f>
        <v/>
      </c>
      <c r="D25" s="20"/>
      <c r="E25" s="27"/>
      <c r="F25" s="27"/>
      <c r="G25" s="27"/>
      <c r="H25" s="28"/>
    </row>
    <row r="26" spans="1:8" ht="30" customHeight="1">
      <c r="A26" s="26" t="str">
        <f t="shared" si="0"/>
        <v/>
      </c>
      <c r="B26" s="27"/>
      <c r="C26" s="31" t="str">
        <f>IF(B26="","",IFERROR(INDEX('سجل المخاطر'!$D$3:$D$32,MATCH(B26,'سجل المخاطر'!$A$3:$A$32,0)),""))</f>
        <v/>
      </c>
      <c r="D26" s="20"/>
      <c r="E26" s="27"/>
      <c r="F26" s="27"/>
      <c r="G26" s="27"/>
      <c r="H26" s="28"/>
    </row>
    <row r="27" spans="1:8" ht="30" customHeight="1">
      <c r="A27" s="26" t="str">
        <f t="shared" si="0"/>
        <v/>
      </c>
      <c r="B27" s="27"/>
      <c r="C27" s="31" t="str">
        <f>IF(B27="","",IFERROR(INDEX('سجل المخاطر'!$D$3:$D$32,MATCH(B27,'سجل المخاطر'!$A$3:$A$32,0)),""))</f>
        <v/>
      </c>
      <c r="D27" s="20"/>
      <c r="E27" s="27"/>
      <c r="F27" s="27"/>
      <c r="G27" s="27"/>
      <c r="H27" s="28"/>
    </row>
    <row r="28" spans="1:8" ht="30" customHeight="1">
      <c r="A28" s="26" t="str">
        <f t="shared" si="0"/>
        <v/>
      </c>
      <c r="B28" s="27"/>
      <c r="C28" s="31" t="str">
        <f>IF(B28="","",IFERROR(INDEX('سجل المخاطر'!$D$3:$D$32,MATCH(B28,'سجل المخاطر'!$A$3:$A$32,0)),""))</f>
        <v/>
      </c>
      <c r="D28" s="20"/>
      <c r="E28" s="27"/>
      <c r="F28" s="27"/>
      <c r="G28" s="27"/>
      <c r="H28" s="28"/>
    </row>
    <row r="29" spans="1:8" ht="30" customHeight="1">
      <c r="A29" s="26" t="str">
        <f t="shared" si="0"/>
        <v/>
      </c>
      <c r="B29" s="27"/>
      <c r="C29" s="31" t="str">
        <f>IF(B29="","",IFERROR(INDEX('سجل المخاطر'!$D$3:$D$32,MATCH(B29,'سجل المخاطر'!$A$3:$A$32,0)),""))</f>
        <v/>
      </c>
      <c r="D29" s="20"/>
      <c r="E29" s="27"/>
      <c r="F29" s="27"/>
      <c r="G29" s="27"/>
      <c r="H29" s="28"/>
    </row>
    <row r="30" spans="1:8" ht="30" customHeight="1">
      <c r="A30" s="26" t="str">
        <f t="shared" si="0"/>
        <v/>
      </c>
      <c r="B30" s="27"/>
      <c r="C30" s="31" t="str">
        <f>IF(B30="","",IFERROR(INDEX('سجل المخاطر'!$D$3:$D$32,MATCH(B30,'سجل المخاطر'!$A$3:$A$32,0)),""))</f>
        <v/>
      </c>
      <c r="D30" s="20"/>
      <c r="E30" s="27"/>
      <c r="F30" s="27"/>
      <c r="G30" s="27"/>
      <c r="H30" s="28"/>
    </row>
    <row r="31" spans="1:8" ht="30" customHeight="1">
      <c r="A31" s="26" t="str">
        <f t="shared" si="0"/>
        <v/>
      </c>
      <c r="B31" s="27"/>
      <c r="C31" s="31" t="str">
        <f>IF(B31="","",IFERROR(INDEX('سجل المخاطر'!$D$3:$D$32,MATCH(B31,'سجل المخاطر'!$A$3:$A$32,0)),""))</f>
        <v/>
      </c>
      <c r="D31" s="20"/>
      <c r="E31" s="27"/>
      <c r="F31" s="27"/>
      <c r="G31" s="27"/>
      <c r="H31" s="28"/>
    </row>
    <row r="32" spans="1:8" ht="30" customHeight="1">
      <c r="A32" s="26" t="str">
        <f t="shared" si="0"/>
        <v/>
      </c>
      <c r="B32" s="27"/>
      <c r="C32" s="31" t="str">
        <f>IF(B32="","",IFERROR(INDEX('سجل المخاطر'!$D$3:$D$32,MATCH(B32,'سجل المخاطر'!$A$3:$A$32,0)),""))</f>
        <v/>
      </c>
      <c r="D32" s="20"/>
      <c r="E32" s="27"/>
      <c r="F32" s="27"/>
      <c r="G32" s="27"/>
      <c r="H32" s="28"/>
    </row>
  </sheetData>
  <mergeCells count="1">
    <mergeCell ref="A1:H1"/>
  </mergeCells>
  <conditionalFormatting sqref="F3:F32">
    <cfRule type="cellIs" dxfId="14" priority="2" operator="equal">
      <formula>"فعال"</formula>
    </cfRule>
    <cfRule type="cellIs" dxfId="13" priority="3" operator="equal">
      <formula>"جزئي"</formula>
    </cfRule>
    <cfRule type="cellIs" dxfId="12" priority="4" operator="equal">
      <formula>"غير فعال"</formula>
    </cfRule>
  </conditionalFormatting>
  <dataValidations count="2">
    <dataValidation type="list" allowBlank="1" sqref="E3:E32" xr:uid="{00000000-0002-0000-0400-000001000000}">
      <formula1>"وقائي,كاشف,تصحيحي"</formula1>
      <formula2>0</formula2>
    </dataValidation>
    <dataValidation type="list" allowBlank="1" sqref="F3:F32" xr:uid="{00000000-0002-0000-0400-000002000000}">
      <formula1>"فعال,جزئي,غير فعال"</formula1>
      <formula2>0</formula2>
    </dataValidation>
  </dataValidations>
  <pageMargins left="0.3" right="0.3" top="0.4" bottom="0.4"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1">
        <x14:dataValidation type="list" allowBlank="1" xr:uid="{00000000-0002-0000-0400-000000000000}">
          <x14:formula1>
            <xm:f>'سجل المخاطر'!$A$3:$A$32</xm:f>
          </x14:formula1>
          <x14:formula2>
            <xm:f>0</xm:f>
          </x14:formula2>
          <xm:sqref>B3:B32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2"/>
  <sheetViews>
    <sheetView rightToLeft="1" zoomScaleNormal="100" workbookViewId="0">
      <pane ySplit="2" topLeftCell="A3" activePane="bottomLeft" state="frozen"/>
      <selection pane="bottomLeft" activeCell="F5" sqref="F5"/>
    </sheetView>
  </sheetViews>
  <sheetFormatPr defaultColWidth="8.6328125" defaultRowHeight="14.5"/>
  <cols>
    <col min="1" max="1" width="12" customWidth="1"/>
    <col min="2" max="2" width="16" customWidth="1"/>
    <col min="3" max="3" width="30" customWidth="1"/>
    <col min="4" max="4" width="18" customWidth="1"/>
    <col min="5" max="5" width="14" customWidth="1"/>
    <col min="6" max="6" width="15" customWidth="1"/>
    <col min="7" max="7" width="38.08984375" customWidth="1"/>
  </cols>
  <sheetData>
    <row r="1" spans="1:7" ht="27.75" customHeight="1">
      <c r="A1" s="52" t="s">
        <v>141</v>
      </c>
      <c r="B1" s="52"/>
      <c r="C1" s="52"/>
      <c r="D1" s="52"/>
      <c r="E1" s="52"/>
      <c r="F1" s="52"/>
      <c r="G1" s="52"/>
    </row>
    <row r="2" spans="1:7" ht="42" customHeight="1">
      <c r="A2" s="18" t="s">
        <v>142</v>
      </c>
      <c r="B2" s="18" t="s">
        <v>143</v>
      </c>
      <c r="C2" s="18" t="s">
        <v>144</v>
      </c>
      <c r="D2" s="18" t="s">
        <v>145</v>
      </c>
      <c r="E2" s="18" t="s">
        <v>146</v>
      </c>
      <c r="F2" s="18" t="s">
        <v>147</v>
      </c>
      <c r="G2" s="18" t="s">
        <v>148</v>
      </c>
    </row>
    <row r="3" spans="1:7" ht="30" customHeight="1">
      <c r="A3" s="22" t="str">
        <f t="shared" ref="A3:A32" si="0">IF(D3="","","EVID-"&amp;TEXT(ROW()-2,"000"))</f>
        <v>EVID-001</v>
      </c>
      <c r="B3" s="29" t="s">
        <v>149</v>
      </c>
      <c r="C3" s="23" t="str">
        <f>IF(B3="","",IFERROR(INDEX(الضوابط!$D$3:$D$32,MATCH(B3,الضوابط!$A$3:$A$32,0)),""))</f>
        <v>منهجية إدارة مشاريع رشيقة مع مراجعات أسبوعية للتقدم</v>
      </c>
      <c r="D3" s="24" t="s">
        <v>150</v>
      </c>
      <c r="E3" s="25">
        <v>46215</v>
      </c>
      <c r="F3" s="24" t="s">
        <v>151</v>
      </c>
      <c r="G3" s="23" t="s">
        <v>152</v>
      </c>
    </row>
    <row r="4" spans="1:7" ht="30" customHeight="1">
      <c r="A4" s="22" t="str">
        <f t="shared" si="0"/>
        <v>EVID-002</v>
      </c>
      <c r="B4" s="29" t="s">
        <v>153</v>
      </c>
      <c r="C4" s="23" t="str">
        <f>IF(B4="","",IFERROR(INDEX(الضوابط!$D$3:$D$32,MATCH(B4,الضوابط!$A$3:$A$32,0)),""))</f>
        <v>جدار حماية وأنظمة كشف تسلل مع مراقبة على مدار الساعة</v>
      </c>
      <c r="D4" s="24" t="s">
        <v>154</v>
      </c>
      <c r="E4" s="25">
        <v>46195</v>
      </c>
      <c r="F4" s="24" t="s">
        <v>155</v>
      </c>
      <c r="G4" s="23" t="s">
        <v>156</v>
      </c>
    </row>
    <row r="5" spans="1:7" ht="30" customHeight="1">
      <c r="A5" s="22" t="str">
        <f t="shared" si="0"/>
        <v>EVID-003</v>
      </c>
      <c r="B5" s="29" t="s">
        <v>157</v>
      </c>
      <c r="C5" s="23" t="str">
        <f>IF(B5="","",IFERROR(INDEX(الضوابط!$D$3:$D$32,MATCH(B5,الضوابط!$A$3:$A$32,0)),""))</f>
        <v>بند تعاقدي يُلزم الموردين بمعايير حماية البيانات</v>
      </c>
      <c r="D5" s="24" t="s">
        <v>158</v>
      </c>
      <c r="E5" s="25">
        <v>46170</v>
      </c>
      <c r="F5" s="24" t="s">
        <v>151</v>
      </c>
      <c r="G5" s="23" t="s">
        <v>159</v>
      </c>
    </row>
    <row r="6" spans="1:7" ht="30" customHeight="1">
      <c r="A6" s="22" t="str">
        <f t="shared" si="0"/>
        <v>EVID-004</v>
      </c>
      <c r="B6" s="29" t="s">
        <v>160</v>
      </c>
      <c r="C6" s="23" t="str">
        <f>IF(B6="","",IFERROR(INDEX(الضوابط!$D$3:$D$32,MATCH(B6,الضوابط!$A$3:$A$32,0)),""))</f>
        <v>تشفير بيانات العملاء وضوابط صلاحيات الوصول</v>
      </c>
      <c r="D6" s="24" t="s">
        <v>161</v>
      </c>
      <c r="E6" s="25">
        <v>46130</v>
      </c>
      <c r="F6" s="24" t="s">
        <v>151</v>
      </c>
      <c r="G6" s="23" t="s">
        <v>162</v>
      </c>
    </row>
    <row r="7" spans="1:7" ht="30" customHeight="1">
      <c r="A7" s="22" t="str">
        <f t="shared" si="0"/>
        <v>EVID-005</v>
      </c>
      <c r="B7" s="29" t="s">
        <v>163</v>
      </c>
      <c r="C7" s="23" t="str">
        <f>IF(B7="","",IFERROR(INDEX(الضوابط!$D$3:$D$32,MATCH(B7,الضوابط!$A$3:$A$32,0)),""))</f>
        <v>لوحة متابعة أداء المبيعات مع مراجعة شهرية</v>
      </c>
      <c r="D7" s="24" t="s">
        <v>164</v>
      </c>
      <c r="E7" s="25">
        <v>46093</v>
      </c>
      <c r="F7" s="24" t="s">
        <v>155</v>
      </c>
      <c r="G7" s="23" t="s">
        <v>165</v>
      </c>
    </row>
    <row r="8" spans="1:7" ht="30" customHeight="1">
      <c r="A8" s="22" t="str">
        <f t="shared" si="0"/>
        <v>EVID-006</v>
      </c>
      <c r="B8" s="29" t="s">
        <v>166</v>
      </c>
      <c r="C8" s="23" t="str">
        <f>IF(B8="","",IFERROR(INDEX(الضوابط!$D$3:$D$32,MATCH(B8,الضوابط!$A$3:$A$32,0)),""))</f>
        <v>خطة تعافٍ من الكوارث تشمل مزودًا احتياطيًا</v>
      </c>
      <c r="D8" s="24" t="s">
        <v>167</v>
      </c>
      <c r="E8" s="25">
        <v>46061</v>
      </c>
      <c r="F8" s="24" t="s">
        <v>168</v>
      </c>
      <c r="G8" s="23" t="s">
        <v>169</v>
      </c>
    </row>
    <row r="9" spans="1:7" ht="30" customHeight="1">
      <c r="A9" s="26" t="str">
        <f t="shared" si="0"/>
        <v/>
      </c>
      <c r="B9" s="27"/>
      <c r="C9" s="31" t="str">
        <f>IF(B9="","",IFERROR(INDEX(الضوابط!$D$3:$D$32,MATCH(B9,الضوابط!$A$3:$A$32,0)),""))</f>
        <v/>
      </c>
      <c r="D9" s="27"/>
      <c r="E9" s="28"/>
      <c r="F9" s="27"/>
      <c r="G9" s="20"/>
    </row>
    <row r="10" spans="1:7" ht="30" customHeight="1">
      <c r="A10" s="26" t="str">
        <f t="shared" si="0"/>
        <v/>
      </c>
      <c r="B10" s="27"/>
      <c r="C10" s="31" t="str">
        <f>IF(B10="","",IFERROR(INDEX(الضوابط!$D$3:$D$32,MATCH(B10,الضوابط!$A$3:$A$32,0)),""))</f>
        <v/>
      </c>
      <c r="D10" s="27"/>
      <c r="E10" s="28"/>
      <c r="F10" s="27"/>
      <c r="G10" s="20"/>
    </row>
    <row r="11" spans="1:7" ht="30" customHeight="1">
      <c r="A11" s="26" t="str">
        <f t="shared" si="0"/>
        <v/>
      </c>
      <c r="B11" s="27"/>
      <c r="C11" s="31" t="str">
        <f>IF(B11="","",IFERROR(INDEX(الضوابط!$D$3:$D$32,MATCH(B11,الضوابط!$A$3:$A$32,0)),""))</f>
        <v/>
      </c>
      <c r="D11" s="27"/>
      <c r="E11" s="28"/>
      <c r="F11" s="27"/>
      <c r="G11" s="20"/>
    </row>
    <row r="12" spans="1:7" ht="30" customHeight="1">
      <c r="A12" s="26" t="str">
        <f t="shared" si="0"/>
        <v/>
      </c>
      <c r="B12" s="27"/>
      <c r="C12" s="31" t="str">
        <f>IF(B12="","",IFERROR(INDEX(الضوابط!$D$3:$D$32,MATCH(B12,الضوابط!$A$3:$A$32,0)),""))</f>
        <v/>
      </c>
      <c r="D12" s="27"/>
      <c r="E12" s="28"/>
      <c r="F12" s="27"/>
      <c r="G12" s="20"/>
    </row>
    <row r="13" spans="1:7" ht="30" customHeight="1">
      <c r="A13" s="26" t="str">
        <f t="shared" si="0"/>
        <v/>
      </c>
      <c r="B13" s="27"/>
      <c r="C13" s="31" t="str">
        <f>IF(B13="","",IFERROR(INDEX(الضوابط!$D$3:$D$32,MATCH(B13,الضوابط!$A$3:$A$32,0)),""))</f>
        <v/>
      </c>
      <c r="D13" s="27"/>
      <c r="E13" s="28"/>
      <c r="F13" s="27"/>
      <c r="G13" s="20"/>
    </row>
    <row r="14" spans="1:7" ht="30" customHeight="1">
      <c r="A14" s="26" t="str">
        <f t="shared" si="0"/>
        <v/>
      </c>
      <c r="B14" s="27"/>
      <c r="C14" s="31" t="str">
        <f>IF(B14="","",IFERROR(INDEX(الضوابط!$D$3:$D$32,MATCH(B14,الضوابط!$A$3:$A$32,0)),""))</f>
        <v/>
      </c>
      <c r="D14" s="27"/>
      <c r="E14" s="28"/>
      <c r="F14" s="27"/>
      <c r="G14" s="20"/>
    </row>
    <row r="15" spans="1:7" ht="30" customHeight="1">
      <c r="A15" s="26" t="str">
        <f t="shared" si="0"/>
        <v/>
      </c>
      <c r="B15" s="27"/>
      <c r="C15" s="31" t="str">
        <f>IF(B15="","",IFERROR(INDEX(الضوابط!$D$3:$D$32,MATCH(B15,الضوابط!$A$3:$A$32,0)),""))</f>
        <v/>
      </c>
      <c r="D15" s="27"/>
      <c r="E15" s="28"/>
      <c r="F15" s="27"/>
      <c r="G15" s="20"/>
    </row>
    <row r="16" spans="1:7" ht="30" customHeight="1">
      <c r="A16" s="26" t="str">
        <f t="shared" si="0"/>
        <v/>
      </c>
      <c r="B16" s="27"/>
      <c r="C16" s="31" t="str">
        <f>IF(B16="","",IFERROR(INDEX(الضوابط!$D$3:$D$32,MATCH(B16,الضوابط!$A$3:$A$32,0)),""))</f>
        <v/>
      </c>
      <c r="D16" s="27"/>
      <c r="E16" s="28"/>
      <c r="F16" s="27"/>
      <c r="G16" s="20"/>
    </row>
    <row r="17" spans="1:7" ht="30" customHeight="1">
      <c r="A17" s="26" t="str">
        <f t="shared" si="0"/>
        <v/>
      </c>
      <c r="B17" s="27"/>
      <c r="C17" s="31" t="str">
        <f>IF(B17="","",IFERROR(INDEX(الضوابط!$D$3:$D$32,MATCH(B17,الضوابط!$A$3:$A$32,0)),""))</f>
        <v/>
      </c>
      <c r="D17" s="27"/>
      <c r="E17" s="28"/>
      <c r="F17" s="27"/>
      <c r="G17" s="20"/>
    </row>
    <row r="18" spans="1:7" ht="30" customHeight="1">
      <c r="A18" s="26" t="str">
        <f t="shared" si="0"/>
        <v/>
      </c>
      <c r="B18" s="27"/>
      <c r="C18" s="31" t="str">
        <f>IF(B18="","",IFERROR(INDEX(الضوابط!$D$3:$D$32,MATCH(B18,الضوابط!$A$3:$A$32,0)),""))</f>
        <v/>
      </c>
      <c r="D18" s="27"/>
      <c r="E18" s="28"/>
      <c r="F18" s="27"/>
      <c r="G18" s="20"/>
    </row>
    <row r="19" spans="1:7" ht="30" customHeight="1">
      <c r="A19" s="26" t="str">
        <f t="shared" si="0"/>
        <v/>
      </c>
      <c r="B19" s="27"/>
      <c r="C19" s="31" t="str">
        <f>IF(B19="","",IFERROR(INDEX(الضوابط!$D$3:$D$32,MATCH(B19,الضوابط!$A$3:$A$32,0)),""))</f>
        <v/>
      </c>
      <c r="D19" s="27"/>
      <c r="E19" s="28"/>
      <c r="F19" s="27"/>
      <c r="G19" s="20"/>
    </row>
    <row r="20" spans="1:7" ht="30" customHeight="1">
      <c r="A20" s="26" t="str">
        <f t="shared" si="0"/>
        <v/>
      </c>
      <c r="B20" s="27"/>
      <c r="C20" s="31" t="str">
        <f>IF(B20="","",IFERROR(INDEX(الضوابط!$D$3:$D$32,MATCH(B20,الضوابط!$A$3:$A$32,0)),""))</f>
        <v/>
      </c>
      <c r="D20" s="27"/>
      <c r="E20" s="28"/>
      <c r="F20" s="27"/>
      <c r="G20" s="20"/>
    </row>
    <row r="21" spans="1:7" ht="30" customHeight="1">
      <c r="A21" s="26" t="str">
        <f t="shared" si="0"/>
        <v/>
      </c>
      <c r="B21" s="27"/>
      <c r="C21" s="31" t="str">
        <f>IF(B21="","",IFERROR(INDEX(الضوابط!$D$3:$D$32,MATCH(B21,الضوابط!$A$3:$A$32,0)),""))</f>
        <v/>
      </c>
      <c r="D21" s="27"/>
      <c r="E21" s="28"/>
      <c r="F21" s="27"/>
      <c r="G21" s="20"/>
    </row>
    <row r="22" spans="1:7" ht="30" customHeight="1">
      <c r="A22" s="26" t="str">
        <f t="shared" si="0"/>
        <v/>
      </c>
      <c r="B22" s="27"/>
      <c r="C22" s="31" t="str">
        <f>IF(B22="","",IFERROR(INDEX(الضوابط!$D$3:$D$32,MATCH(B22,الضوابط!$A$3:$A$32,0)),""))</f>
        <v/>
      </c>
      <c r="D22" s="27"/>
      <c r="E22" s="28"/>
      <c r="F22" s="27"/>
      <c r="G22" s="20"/>
    </row>
    <row r="23" spans="1:7" ht="30" customHeight="1">
      <c r="A23" s="26" t="str">
        <f t="shared" si="0"/>
        <v/>
      </c>
      <c r="B23" s="27"/>
      <c r="C23" s="31" t="str">
        <f>IF(B23="","",IFERROR(INDEX(الضوابط!$D$3:$D$32,MATCH(B23,الضوابط!$A$3:$A$32,0)),""))</f>
        <v/>
      </c>
      <c r="D23" s="27"/>
      <c r="E23" s="28"/>
      <c r="F23" s="27"/>
      <c r="G23" s="20"/>
    </row>
    <row r="24" spans="1:7" ht="30" customHeight="1">
      <c r="A24" s="26" t="str">
        <f t="shared" si="0"/>
        <v/>
      </c>
      <c r="B24" s="27"/>
      <c r="C24" s="31" t="str">
        <f>IF(B24="","",IFERROR(INDEX(الضوابط!$D$3:$D$32,MATCH(B24,الضوابط!$A$3:$A$32,0)),""))</f>
        <v/>
      </c>
      <c r="D24" s="27"/>
      <c r="E24" s="28"/>
      <c r="F24" s="27"/>
      <c r="G24" s="20"/>
    </row>
    <row r="25" spans="1:7" ht="30" customHeight="1">
      <c r="A25" s="26" t="str">
        <f t="shared" si="0"/>
        <v/>
      </c>
      <c r="B25" s="27"/>
      <c r="C25" s="31" t="str">
        <f>IF(B25="","",IFERROR(INDEX(الضوابط!$D$3:$D$32,MATCH(B25,الضوابط!$A$3:$A$32,0)),""))</f>
        <v/>
      </c>
      <c r="D25" s="27"/>
      <c r="E25" s="28"/>
      <c r="F25" s="27"/>
      <c r="G25" s="20"/>
    </row>
    <row r="26" spans="1:7" ht="30" customHeight="1">
      <c r="A26" s="26" t="str">
        <f t="shared" si="0"/>
        <v/>
      </c>
      <c r="B26" s="27"/>
      <c r="C26" s="31" t="str">
        <f>IF(B26="","",IFERROR(INDEX(الضوابط!$D$3:$D$32,MATCH(B26,الضوابط!$A$3:$A$32,0)),""))</f>
        <v/>
      </c>
      <c r="D26" s="27"/>
      <c r="E26" s="28"/>
      <c r="F26" s="27"/>
      <c r="G26" s="20"/>
    </row>
    <row r="27" spans="1:7" ht="30" customHeight="1">
      <c r="A27" s="26" t="str">
        <f t="shared" si="0"/>
        <v/>
      </c>
      <c r="B27" s="27"/>
      <c r="C27" s="31" t="str">
        <f>IF(B27="","",IFERROR(INDEX(الضوابط!$D$3:$D$32,MATCH(B27,الضوابط!$A$3:$A$32,0)),""))</f>
        <v/>
      </c>
      <c r="D27" s="27"/>
      <c r="E27" s="28"/>
      <c r="F27" s="27"/>
      <c r="G27" s="20"/>
    </row>
    <row r="28" spans="1:7" ht="30" customHeight="1">
      <c r="A28" s="26" t="str">
        <f t="shared" si="0"/>
        <v/>
      </c>
      <c r="B28" s="27"/>
      <c r="C28" s="31" t="str">
        <f>IF(B28="","",IFERROR(INDEX(الضوابط!$D$3:$D$32,MATCH(B28,الضوابط!$A$3:$A$32,0)),""))</f>
        <v/>
      </c>
      <c r="D28" s="27"/>
      <c r="E28" s="28"/>
      <c r="F28" s="27"/>
      <c r="G28" s="20"/>
    </row>
    <row r="29" spans="1:7" ht="30" customHeight="1">
      <c r="A29" s="26" t="str">
        <f t="shared" si="0"/>
        <v/>
      </c>
      <c r="B29" s="27"/>
      <c r="C29" s="31" t="str">
        <f>IF(B29="","",IFERROR(INDEX(الضوابط!$D$3:$D$32,MATCH(B29,الضوابط!$A$3:$A$32,0)),""))</f>
        <v/>
      </c>
      <c r="D29" s="27"/>
      <c r="E29" s="28"/>
      <c r="F29" s="27"/>
      <c r="G29" s="20"/>
    </row>
    <row r="30" spans="1:7" ht="30" customHeight="1">
      <c r="A30" s="26" t="str">
        <f t="shared" si="0"/>
        <v/>
      </c>
      <c r="B30" s="27"/>
      <c r="C30" s="31" t="str">
        <f>IF(B30="","",IFERROR(INDEX(الضوابط!$D$3:$D$32,MATCH(B30,الضوابط!$A$3:$A$32,0)),""))</f>
        <v/>
      </c>
      <c r="D30" s="27"/>
      <c r="E30" s="28"/>
      <c r="F30" s="27"/>
      <c r="G30" s="20"/>
    </row>
    <row r="31" spans="1:7" ht="30" customHeight="1">
      <c r="A31" s="26" t="str">
        <f t="shared" si="0"/>
        <v/>
      </c>
      <c r="B31" s="27"/>
      <c r="C31" s="31" t="str">
        <f>IF(B31="","",IFERROR(INDEX(الضوابط!$D$3:$D$32,MATCH(B31,الضوابط!$A$3:$A$32,0)),""))</f>
        <v/>
      </c>
      <c r="D31" s="27"/>
      <c r="E31" s="28"/>
      <c r="F31" s="27"/>
      <c r="G31" s="20"/>
    </row>
    <row r="32" spans="1:7" ht="30" customHeight="1">
      <c r="A32" s="26" t="str">
        <f t="shared" si="0"/>
        <v/>
      </c>
      <c r="B32" s="27"/>
      <c r="C32" s="31" t="str">
        <f>IF(B32="","",IFERROR(INDEX(الضوابط!$D$3:$D$32,MATCH(B32,الضوابط!$A$3:$A$32,0)),""))</f>
        <v/>
      </c>
      <c r="D32" s="27"/>
      <c r="E32" s="28"/>
      <c r="F32" s="27"/>
      <c r="G32" s="20"/>
    </row>
  </sheetData>
  <mergeCells count="1">
    <mergeCell ref="A1:G1"/>
  </mergeCells>
  <conditionalFormatting sqref="F3:F32">
    <cfRule type="cellIs" dxfId="11" priority="2" operator="equal">
      <formula>"يعمل بفعالية"</formula>
    </cfRule>
    <cfRule type="cellIs" dxfId="10" priority="3" operator="equal">
      <formula>"يعمل جزئياً"</formula>
    </cfRule>
    <cfRule type="cellIs" dxfId="9" priority="4" operator="equal">
      <formula>"لا يعمل"</formula>
    </cfRule>
  </conditionalFormatting>
  <dataValidations count="2">
    <dataValidation type="list" allowBlank="1" sqref="D3:D32" xr:uid="{00000000-0002-0000-0500-000001000000}">
      <formula1>"تدقيق داخلي,اختبار ذاتي,تقرير خارجي,مراجعة إدارية,اختبار اختراق خارجي,مراجعة عقود"</formula1>
      <formula2>0</formula2>
    </dataValidation>
    <dataValidation type="list" allowBlank="1" sqref="F3:F32" xr:uid="{00000000-0002-0000-0500-000002000000}">
      <formula1>"يعمل بفعالية,يعمل جزئياً,لا يعمل"</formula1>
      <formula2>0</formula2>
    </dataValidation>
  </dataValidations>
  <pageMargins left="0.3" right="0.3" top="0.4" bottom="0.4"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1">
        <x14:dataValidation type="list" allowBlank="1" xr:uid="{00000000-0002-0000-0500-000000000000}">
          <x14:formula1>
            <xm:f>الضوابط!$A$3:$A$32</xm:f>
          </x14:formula1>
          <x14:formula2>
            <xm:f>0</xm:f>
          </x14:formula2>
          <xm:sqref>B3:B32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2"/>
  <sheetViews>
    <sheetView rightToLeft="1" zoomScaleNormal="100" workbookViewId="0">
      <pane ySplit="2" topLeftCell="A3" activePane="bottomLeft" state="frozen"/>
      <selection pane="bottomLeft" activeCell="M8" sqref="M8"/>
    </sheetView>
  </sheetViews>
  <sheetFormatPr defaultColWidth="8.6328125" defaultRowHeight="14.5"/>
  <cols>
    <col min="1" max="1" width="12" customWidth="1"/>
    <col min="2" max="2" width="15" customWidth="1"/>
    <col min="3" max="3" width="45.26953125" bestFit="1" customWidth="1"/>
    <col min="4" max="4" width="33.81640625" customWidth="1"/>
    <col min="5" max="6" width="12" customWidth="1"/>
    <col min="7" max="7" width="13" customWidth="1"/>
    <col min="8" max="8" width="10" customWidth="1"/>
    <col min="9" max="9" width="11" customWidth="1"/>
    <col min="10" max="10" width="14" customWidth="1"/>
  </cols>
  <sheetData>
    <row r="1" spans="1:10" ht="27.75" customHeight="1">
      <c r="A1" s="52" t="s">
        <v>170</v>
      </c>
      <c r="B1" s="52"/>
      <c r="C1" s="52"/>
      <c r="D1" s="52"/>
      <c r="E1" s="52"/>
      <c r="F1" s="52"/>
      <c r="G1" s="52"/>
      <c r="H1" s="52"/>
      <c r="I1" s="52"/>
      <c r="J1" s="52"/>
    </row>
    <row r="2" spans="1:10" ht="42" customHeight="1">
      <c r="A2" s="18" t="s">
        <v>171</v>
      </c>
      <c r="B2" s="18" t="s">
        <v>115</v>
      </c>
      <c r="C2" s="18" t="s">
        <v>116</v>
      </c>
      <c r="D2" s="18" t="s">
        <v>172</v>
      </c>
      <c r="E2" s="18" t="s">
        <v>173</v>
      </c>
      <c r="F2" s="18" t="s">
        <v>174</v>
      </c>
      <c r="G2" s="18" t="s">
        <v>175</v>
      </c>
      <c r="H2" s="18" t="s">
        <v>60</v>
      </c>
      <c r="I2" s="18" t="s">
        <v>176</v>
      </c>
      <c r="J2" s="18" t="s">
        <v>177</v>
      </c>
    </row>
    <row r="3" spans="1:10" ht="30" customHeight="1">
      <c r="A3" s="22" t="str">
        <f t="shared" ref="A3:A32" si="0">IF(D3="","","KRI-"&amp;TEXT(ROW()-2,"000"))</f>
        <v>KRI-001</v>
      </c>
      <c r="B3" s="29" t="s">
        <v>122</v>
      </c>
      <c r="C3" s="23" t="str">
        <f>IF(B3="","",IFERROR(INDEX('سجل المخاطر'!$D$3:$D$32,MATCH(B3,'سجل المخاطر'!$A$3:$A$32,0)),""))</f>
        <v>تأخر تسليم منصة LiveGRC السحابية عن الجدول الزمني المخطط</v>
      </c>
      <c r="D3" s="23" t="s">
        <v>178</v>
      </c>
      <c r="E3" s="24">
        <v>10</v>
      </c>
      <c r="F3" s="24">
        <v>25</v>
      </c>
      <c r="G3" s="24">
        <v>18</v>
      </c>
      <c r="H3" s="24" t="str">
        <f t="shared" ref="H3:H32" si="1">IF(G3="","",IF(G3&lt;=E3,"أخضر",IF(G3&lt;=F3,"أصفر","أحمر")))</f>
        <v>أصفر</v>
      </c>
      <c r="I3" s="24" t="s">
        <v>179</v>
      </c>
      <c r="J3" s="25">
        <v>46223</v>
      </c>
    </row>
    <row r="4" spans="1:10" ht="30" customHeight="1">
      <c r="A4" s="22" t="str">
        <f t="shared" si="0"/>
        <v>KRI-002</v>
      </c>
      <c r="B4" s="29" t="s">
        <v>127</v>
      </c>
      <c r="C4" s="23" t="str">
        <f>IF(B4="","",IFERROR(INDEX('سجل المخاطر'!$D$3:$D$32,MATCH(B4,'سجل المخاطر'!$A$3:$A$32,0)),""))</f>
        <v>اختراق سيبراني يؤدي إلى توقف تشغيلي للمنصة</v>
      </c>
      <c r="D4" s="23" t="s">
        <v>180</v>
      </c>
      <c r="E4" s="24">
        <v>5</v>
      </c>
      <c r="F4" s="24">
        <v>15</v>
      </c>
      <c r="G4" s="24">
        <v>22</v>
      </c>
      <c r="H4" s="24" t="str">
        <f t="shared" si="1"/>
        <v>أحمر</v>
      </c>
      <c r="I4" s="24" t="s">
        <v>179</v>
      </c>
      <c r="J4" s="25">
        <v>46198</v>
      </c>
    </row>
    <row r="5" spans="1:10" ht="30" customHeight="1">
      <c r="A5" s="22" t="str">
        <f t="shared" si="0"/>
        <v>KRI-003</v>
      </c>
      <c r="B5" s="29" t="s">
        <v>131</v>
      </c>
      <c r="C5" s="23" t="str">
        <f>IF(B5="","",IFERROR(INDEX('سجل المخاطر'!$D$3:$D$32,MATCH(B5,'سجل المخاطر'!$A$3:$A$32,0)),""))</f>
        <v>عدم التزام أحد الموردين بمتطلبات حماية البيانات</v>
      </c>
      <c r="D5" s="23" t="s">
        <v>181</v>
      </c>
      <c r="E5" s="24">
        <v>5</v>
      </c>
      <c r="F5" s="24">
        <v>15</v>
      </c>
      <c r="G5" s="24">
        <v>8</v>
      </c>
      <c r="H5" s="24" t="str">
        <f t="shared" si="1"/>
        <v>أصفر</v>
      </c>
      <c r="I5" s="24" t="s">
        <v>182</v>
      </c>
      <c r="J5" s="25">
        <v>46172</v>
      </c>
    </row>
    <row r="6" spans="1:10" ht="30" customHeight="1">
      <c r="A6" s="22" t="str">
        <f t="shared" si="0"/>
        <v>KRI-004</v>
      </c>
      <c r="B6" s="29" t="s">
        <v>133</v>
      </c>
      <c r="C6" s="23" t="str">
        <f>IF(B6="","",IFERROR(INDEX('سجل المخاطر'!$D$3:$D$32,MATCH(B6,'سجل المخاطر'!$A$3:$A$32,0)),""))</f>
        <v>تسرب معلومات عملاء يؤثر على الثقة المؤسسية</v>
      </c>
      <c r="D6" s="23" t="s">
        <v>183</v>
      </c>
      <c r="E6" s="24">
        <v>0</v>
      </c>
      <c r="F6" s="24">
        <v>2</v>
      </c>
      <c r="G6" s="24">
        <v>0</v>
      </c>
      <c r="H6" s="24" t="str">
        <f t="shared" si="1"/>
        <v>أخضر</v>
      </c>
      <c r="I6" s="24" t="s">
        <v>182</v>
      </c>
      <c r="J6" s="25">
        <v>46132</v>
      </c>
    </row>
    <row r="7" spans="1:10" ht="30" customHeight="1">
      <c r="A7" s="22" t="str">
        <f t="shared" si="0"/>
        <v>KRI-005</v>
      </c>
      <c r="B7" s="29" t="s">
        <v>135</v>
      </c>
      <c r="C7" s="23" t="str">
        <f>IF(B7="","",IFERROR(INDEX('سجل المخاطر'!$D$3:$D$32,MATCH(B7,'سجل المخاطر'!$A$3:$A$32,0)),""))</f>
        <v>بطء دورة المبيعات مقارنة بالمنافسين</v>
      </c>
      <c r="D7" s="23" t="s">
        <v>184</v>
      </c>
      <c r="E7" s="24">
        <v>30</v>
      </c>
      <c r="F7" s="24">
        <v>45</v>
      </c>
      <c r="G7" s="24">
        <v>52</v>
      </c>
      <c r="H7" s="24" t="str">
        <f t="shared" si="1"/>
        <v>أحمر</v>
      </c>
      <c r="I7" s="24" t="s">
        <v>179</v>
      </c>
      <c r="J7" s="25">
        <v>46096</v>
      </c>
    </row>
    <row r="8" spans="1:10" ht="30" customHeight="1">
      <c r="A8" s="22" t="str">
        <f t="shared" si="0"/>
        <v>KRI-006</v>
      </c>
      <c r="B8" s="29" t="s">
        <v>137</v>
      </c>
      <c r="C8" s="23" t="str">
        <f>IF(B8="","",IFERROR(INDEX('سجل المخاطر'!$D$3:$D$32,MATCH(B8,'سجل المخاطر'!$A$3:$A$32,0)),""))</f>
        <v>اعتماد مفرط على مزود استضافة سحابي واحد دون بديل</v>
      </c>
      <c r="D8" s="23" t="s">
        <v>185</v>
      </c>
      <c r="E8" s="24">
        <v>4</v>
      </c>
      <c r="F8" s="24">
        <v>12</v>
      </c>
      <c r="G8" s="24">
        <v>4</v>
      </c>
      <c r="H8" s="24" t="str">
        <f t="shared" si="1"/>
        <v>أخضر</v>
      </c>
      <c r="I8" s="24" t="s">
        <v>186</v>
      </c>
      <c r="J8" s="25">
        <v>46063</v>
      </c>
    </row>
    <row r="9" spans="1:10" ht="30" customHeight="1">
      <c r="A9" s="26" t="str">
        <f t="shared" si="0"/>
        <v/>
      </c>
      <c r="B9" s="27"/>
      <c r="C9" s="31" t="str">
        <f>IF(B9="","",IFERROR(INDEX('سجل المخاطر'!$D$3:$D$32,MATCH(B9,'سجل المخاطر'!$A$3:$A$32,0)),""))</f>
        <v/>
      </c>
      <c r="D9" s="20"/>
      <c r="E9" s="27"/>
      <c r="F9" s="27"/>
      <c r="G9" s="27"/>
      <c r="H9" s="30" t="str">
        <f t="shared" si="1"/>
        <v/>
      </c>
      <c r="I9" s="27"/>
      <c r="J9" s="28"/>
    </row>
    <row r="10" spans="1:10" ht="30" customHeight="1">
      <c r="A10" s="26" t="str">
        <f t="shared" si="0"/>
        <v/>
      </c>
      <c r="B10" s="27"/>
      <c r="C10" s="31" t="str">
        <f>IF(B10="","",IFERROR(INDEX('سجل المخاطر'!$D$3:$D$32,MATCH(B10,'سجل المخاطر'!$A$3:$A$32,0)),""))</f>
        <v/>
      </c>
      <c r="D10" s="20"/>
      <c r="E10" s="27"/>
      <c r="F10" s="27"/>
      <c r="G10" s="27"/>
      <c r="H10" s="30" t="str">
        <f t="shared" si="1"/>
        <v/>
      </c>
      <c r="I10" s="27"/>
      <c r="J10" s="28"/>
    </row>
    <row r="11" spans="1:10" ht="30" customHeight="1">
      <c r="A11" s="26" t="str">
        <f t="shared" si="0"/>
        <v/>
      </c>
      <c r="B11" s="27"/>
      <c r="C11" s="31" t="str">
        <f>IF(B11="","",IFERROR(INDEX('سجل المخاطر'!$D$3:$D$32,MATCH(B11,'سجل المخاطر'!$A$3:$A$32,0)),""))</f>
        <v/>
      </c>
      <c r="D11" s="20"/>
      <c r="E11" s="27"/>
      <c r="F11" s="27"/>
      <c r="G11" s="27"/>
      <c r="H11" s="30" t="str">
        <f t="shared" si="1"/>
        <v/>
      </c>
      <c r="I11" s="27"/>
      <c r="J11" s="28"/>
    </row>
    <row r="12" spans="1:10" ht="30" customHeight="1">
      <c r="A12" s="26" t="str">
        <f t="shared" si="0"/>
        <v/>
      </c>
      <c r="B12" s="27"/>
      <c r="C12" s="31" t="str">
        <f>IF(B12="","",IFERROR(INDEX('سجل المخاطر'!$D$3:$D$32,MATCH(B12,'سجل المخاطر'!$A$3:$A$32,0)),""))</f>
        <v/>
      </c>
      <c r="D12" s="20"/>
      <c r="E12" s="27"/>
      <c r="F12" s="27"/>
      <c r="G12" s="27"/>
      <c r="H12" s="30" t="str">
        <f t="shared" si="1"/>
        <v/>
      </c>
      <c r="I12" s="27"/>
      <c r="J12" s="28"/>
    </row>
    <row r="13" spans="1:10" ht="30" customHeight="1">
      <c r="A13" s="26" t="str">
        <f t="shared" si="0"/>
        <v/>
      </c>
      <c r="B13" s="27"/>
      <c r="C13" s="31" t="str">
        <f>IF(B13="","",IFERROR(INDEX('سجل المخاطر'!$D$3:$D$32,MATCH(B13,'سجل المخاطر'!$A$3:$A$32,0)),""))</f>
        <v/>
      </c>
      <c r="D13" s="20"/>
      <c r="E13" s="27"/>
      <c r="F13" s="27"/>
      <c r="G13" s="27"/>
      <c r="H13" s="30" t="str">
        <f t="shared" si="1"/>
        <v/>
      </c>
      <c r="I13" s="27"/>
      <c r="J13" s="28"/>
    </row>
    <row r="14" spans="1:10" ht="30" customHeight="1">
      <c r="A14" s="26" t="str">
        <f t="shared" si="0"/>
        <v/>
      </c>
      <c r="B14" s="27"/>
      <c r="C14" s="31" t="str">
        <f>IF(B14="","",IFERROR(INDEX('سجل المخاطر'!$D$3:$D$32,MATCH(B14,'سجل المخاطر'!$A$3:$A$32,0)),""))</f>
        <v/>
      </c>
      <c r="D14" s="20"/>
      <c r="E14" s="27"/>
      <c r="F14" s="27"/>
      <c r="G14" s="27"/>
      <c r="H14" s="30" t="str">
        <f t="shared" si="1"/>
        <v/>
      </c>
      <c r="I14" s="27"/>
      <c r="J14" s="28"/>
    </row>
    <row r="15" spans="1:10" ht="30" customHeight="1">
      <c r="A15" s="26" t="str">
        <f t="shared" si="0"/>
        <v/>
      </c>
      <c r="B15" s="27"/>
      <c r="C15" s="31" t="str">
        <f>IF(B15="","",IFERROR(INDEX('سجل المخاطر'!$D$3:$D$32,MATCH(B15,'سجل المخاطر'!$A$3:$A$32,0)),""))</f>
        <v/>
      </c>
      <c r="D15" s="20"/>
      <c r="E15" s="27"/>
      <c r="F15" s="27"/>
      <c r="G15" s="27"/>
      <c r="H15" s="30" t="str">
        <f t="shared" si="1"/>
        <v/>
      </c>
      <c r="I15" s="27"/>
      <c r="J15" s="28"/>
    </row>
    <row r="16" spans="1:10" ht="30" customHeight="1">
      <c r="A16" s="26" t="str">
        <f t="shared" si="0"/>
        <v/>
      </c>
      <c r="B16" s="27"/>
      <c r="C16" s="31" t="str">
        <f>IF(B16="","",IFERROR(INDEX('سجل المخاطر'!$D$3:$D$32,MATCH(B16,'سجل المخاطر'!$A$3:$A$32,0)),""))</f>
        <v/>
      </c>
      <c r="D16" s="20"/>
      <c r="E16" s="27"/>
      <c r="F16" s="27"/>
      <c r="G16" s="27"/>
      <c r="H16" s="30" t="str">
        <f t="shared" si="1"/>
        <v/>
      </c>
      <c r="I16" s="27"/>
      <c r="J16" s="28"/>
    </row>
    <row r="17" spans="1:10" ht="30" customHeight="1">
      <c r="A17" s="26" t="str">
        <f t="shared" si="0"/>
        <v/>
      </c>
      <c r="B17" s="27"/>
      <c r="C17" s="31" t="str">
        <f>IF(B17="","",IFERROR(INDEX('سجل المخاطر'!$D$3:$D$32,MATCH(B17,'سجل المخاطر'!$A$3:$A$32,0)),""))</f>
        <v/>
      </c>
      <c r="D17" s="20"/>
      <c r="E17" s="27"/>
      <c r="F17" s="27"/>
      <c r="G17" s="27"/>
      <c r="H17" s="30" t="str">
        <f t="shared" si="1"/>
        <v/>
      </c>
      <c r="I17" s="27"/>
      <c r="J17" s="28"/>
    </row>
    <row r="18" spans="1:10" ht="30" customHeight="1">
      <c r="A18" s="26" t="str">
        <f t="shared" si="0"/>
        <v/>
      </c>
      <c r="B18" s="27"/>
      <c r="C18" s="31" t="str">
        <f>IF(B18="","",IFERROR(INDEX('سجل المخاطر'!$D$3:$D$32,MATCH(B18,'سجل المخاطر'!$A$3:$A$32,0)),""))</f>
        <v/>
      </c>
      <c r="D18" s="20"/>
      <c r="E18" s="27"/>
      <c r="F18" s="27"/>
      <c r="G18" s="27"/>
      <c r="H18" s="30" t="str">
        <f t="shared" si="1"/>
        <v/>
      </c>
      <c r="I18" s="27"/>
      <c r="J18" s="28"/>
    </row>
    <row r="19" spans="1:10" ht="30" customHeight="1">
      <c r="A19" s="26" t="str">
        <f t="shared" si="0"/>
        <v/>
      </c>
      <c r="B19" s="27"/>
      <c r="C19" s="31" t="str">
        <f>IF(B19="","",IFERROR(INDEX('سجل المخاطر'!$D$3:$D$32,MATCH(B19,'سجل المخاطر'!$A$3:$A$32,0)),""))</f>
        <v/>
      </c>
      <c r="D19" s="20"/>
      <c r="E19" s="27"/>
      <c r="F19" s="27"/>
      <c r="G19" s="27"/>
      <c r="H19" s="30" t="str">
        <f t="shared" si="1"/>
        <v/>
      </c>
      <c r="I19" s="27"/>
      <c r="J19" s="28"/>
    </row>
    <row r="20" spans="1:10" ht="30" customHeight="1">
      <c r="A20" s="26" t="str">
        <f t="shared" si="0"/>
        <v/>
      </c>
      <c r="B20" s="27"/>
      <c r="C20" s="31" t="str">
        <f>IF(B20="","",IFERROR(INDEX('سجل المخاطر'!$D$3:$D$32,MATCH(B20,'سجل المخاطر'!$A$3:$A$32,0)),""))</f>
        <v/>
      </c>
      <c r="D20" s="20"/>
      <c r="E20" s="27"/>
      <c r="F20" s="27"/>
      <c r="G20" s="27"/>
      <c r="H20" s="30" t="str">
        <f t="shared" si="1"/>
        <v/>
      </c>
      <c r="I20" s="27"/>
      <c r="J20" s="28"/>
    </row>
    <row r="21" spans="1:10" ht="30" customHeight="1">
      <c r="A21" s="26" t="str">
        <f t="shared" si="0"/>
        <v/>
      </c>
      <c r="B21" s="27"/>
      <c r="C21" s="31" t="str">
        <f>IF(B21="","",IFERROR(INDEX('سجل المخاطر'!$D$3:$D$32,MATCH(B21,'سجل المخاطر'!$A$3:$A$32,0)),""))</f>
        <v/>
      </c>
      <c r="D21" s="20"/>
      <c r="E21" s="27"/>
      <c r="F21" s="27"/>
      <c r="G21" s="27"/>
      <c r="H21" s="30" t="str">
        <f t="shared" si="1"/>
        <v/>
      </c>
      <c r="I21" s="27"/>
      <c r="J21" s="28"/>
    </row>
    <row r="22" spans="1:10" ht="30" customHeight="1">
      <c r="A22" s="26" t="str">
        <f t="shared" si="0"/>
        <v/>
      </c>
      <c r="B22" s="27"/>
      <c r="C22" s="31" t="str">
        <f>IF(B22="","",IFERROR(INDEX('سجل المخاطر'!$D$3:$D$32,MATCH(B22,'سجل المخاطر'!$A$3:$A$32,0)),""))</f>
        <v/>
      </c>
      <c r="D22" s="20"/>
      <c r="E22" s="27"/>
      <c r="F22" s="27"/>
      <c r="G22" s="27"/>
      <c r="H22" s="30" t="str">
        <f t="shared" si="1"/>
        <v/>
      </c>
      <c r="I22" s="27"/>
      <c r="J22" s="28"/>
    </row>
    <row r="23" spans="1:10" ht="30" customHeight="1">
      <c r="A23" s="26" t="str">
        <f t="shared" si="0"/>
        <v/>
      </c>
      <c r="B23" s="27"/>
      <c r="C23" s="31" t="str">
        <f>IF(B23="","",IFERROR(INDEX('سجل المخاطر'!$D$3:$D$32,MATCH(B23,'سجل المخاطر'!$A$3:$A$32,0)),""))</f>
        <v/>
      </c>
      <c r="D23" s="20"/>
      <c r="E23" s="27"/>
      <c r="F23" s="27"/>
      <c r="G23" s="27"/>
      <c r="H23" s="30" t="str">
        <f t="shared" si="1"/>
        <v/>
      </c>
      <c r="I23" s="27"/>
      <c r="J23" s="28"/>
    </row>
    <row r="24" spans="1:10" ht="30" customHeight="1">
      <c r="A24" s="26" t="str">
        <f t="shared" si="0"/>
        <v/>
      </c>
      <c r="B24" s="27"/>
      <c r="C24" s="31" t="str">
        <f>IF(B24="","",IFERROR(INDEX('سجل المخاطر'!$D$3:$D$32,MATCH(B24,'سجل المخاطر'!$A$3:$A$32,0)),""))</f>
        <v/>
      </c>
      <c r="D24" s="20"/>
      <c r="E24" s="27"/>
      <c r="F24" s="27"/>
      <c r="G24" s="27"/>
      <c r="H24" s="30" t="str">
        <f t="shared" si="1"/>
        <v/>
      </c>
      <c r="I24" s="27"/>
      <c r="J24" s="28"/>
    </row>
    <row r="25" spans="1:10" ht="30" customHeight="1">
      <c r="A25" s="26" t="str">
        <f t="shared" si="0"/>
        <v/>
      </c>
      <c r="B25" s="27"/>
      <c r="C25" s="31" t="str">
        <f>IF(B25="","",IFERROR(INDEX('سجل المخاطر'!$D$3:$D$32,MATCH(B25,'سجل المخاطر'!$A$3:$A$32,0)),""))</f>
        <v/>
      </c>
      <c r="D25" s="20"/>
      <c r="E25" s="27"/>
      <c r="F25" s="27"/>
      <c r="G25" s="27"/>
      <c r="H25" s="30" t="str">
        <f t="shared" si="1"/>
        <v/>
      </c>
      <c r="I25" s="27"/>
      <c r="J25" s="28"/>
    </row>
    <row r="26" spans="1:10" ht="30" customHeight="1">
      <c r="A26" s="26" t="str">
        <f t="shared" si="0"/>
        <v/>
      </c>
      <c r="B26" s="27"/>
      <c r="C26" s="31" t="str">
        <f>IF(B26="","",IFERROR(INDEX('سجل المخاطر'!$D$3:$D$32,MATCH(B26,'سجل المخاطر'!$A$3:$A$32,0)),""))</f>
        <v/>
      </c>
      <c r="D26" s="20"/>
      <c r="E26" s="27"/>
      <c r="F26" s="27"/>
      <c r="G26" s="27"/>
      <c r="H26" s="30" t="str">
        <f t="shared" si="1"/>
        <v/>
      </c>
      <c r="I26" s="27"/>
      <c r="J26" s="28"/>
    </row>
    <row r="27" spans="1:10" ht="30" customHeight="1">
      <c r="A27" s="26" t="str">
        <f t="shared" si="0"/>
        <v/>
      </c>
      <c r="B27" s="27"/>
      <c r="C27" s="31" t="str">
        <f>IF(B27="","",IFERROR(INDEX('سجل المخاطر'!$D$3:$D$32,MATCH(B27,'سجل المخاطر'!$A$3:$A$32,0)),""))</f>
        <v/>
      </c>
      <c r="D27" s="20"/>
      <c r="E27" s="27"/>
      <c r="F27" s="27"/>
      <c r="G27" s="27"/>
      <c r="H27" s="30" t="str">
        <f t="shared" si="1"/>
        <v/>
      </c>
      <c r="I27" s="27"/>
      <c r="J27" s="28"/>
    </row>
    <row r="28" spans="1:10" ht="30" customHeight="1">
      <c r="A28" s="26" t="str">
        <f t="shared" si="0"/>
        <v/>
      </c>
      <c r="B28" s="27"/>
      <c r="C28" s="31" t="str">
        <f>IF(B28="","",IFERROR(INDEX('سجل المخاطر'!$D$3:$D$32,MATCH(B28,'سجل المخاطر'!$A$3:$A$32,0)),""))</f>
        <v/>
      </c>
      <c r="D28" s="20"/>
      <c r="E28" s="27"/>
      <c r="F28" s="27"/>
      <c r="G28" s="27"/>
      <c r="H28" s="30" t="str">
        <f t="shared" si="1"/>
        <v/>
      </c>
      <c r="I28" s="27"/>
      <c r="J28" s="28"/>
    </row>
    <row r="29" spans="1:10" ht="30" customHeight="1">
      <c r="A29" s="26" t="str">
        <f t="shared" si="0"/>
        <v/>
      </c>
      <c r="B29" s="27"/>
      <c r="C29" s="31" t="str">
        <f>IF(B29="","",IFERROR(INDEX('سجل المخاطر'!$D$3:$D$32,MATCH(B29,'سجل المخاطر'!$A$3:$A$32,0)),""))</f>
        <v/>
      </c>
      <c r="D29" s="20"/>
      <c r="E29" s="27"/>
      <c r="F29" s="27"/>
      <c r="G29" s="27"/>
      <c r="H29" s="30" t="str">
        <f t="shared" si="1"/>
        <v/>
      </c>
      <c r="I29" s="27"/>
      <c r="J29" s="28"/>
    </row>
    <row r="30" spans="1:10" ht="30" customHeight="1">
      <c r="A30" s="26" t="str">
        <f t="shared" si="0"/>
        <v/>
      </c>
      <c r="B30" s="27"/>
      <c r="C30" s="31" t="str">
        <f>IF(B30="","",IFERROR(INDEX('سجل المخاطر'!$D$3:$D$32,MATCH(B30,'سجل المخاطر'!$A$3:$A$32,0)),""))</f>
        <v/>
      </c>
      <c r="D30" s="20"/>
      <c r="E30" s="27"/>
      <c r="F30" s="27"/>
      <c r="G30" s="27"/>
      <c r="H30" s="30" t="str">
        <f t="shared" si="1"/>
        <v/>
      </c>
      <c r="I30" s="27"/>
      <c r="J30" s="28"/>
    </row>
    <row r="31" spans="1:10" ht="30" customHeight="1">
      <c r="A31" s="26" t="str">
        <f t="shared" si="0"/>
        <v/>
      </c>
      <c r="B31" s="27"/>
      <c r="C31" s="31" t="str">
        <f>IF(B31="","",IFERROR(INDEX('سجل المخاطر'!$D$3:$D$32,MATCH(B31,'سجل المخاطر'!$A$3:$A$32,0)),""))</f>
        <v/>
      </c>
      <c r="D31" s="20"/>
      <c r="E31" s="27"/>
      <c r="F31" s="27"/>
      <c r="G31" s="27"/>
      <c r="H31" s="30" t="str">
        <f t="shared" si="1"/>
        <v/>
      </c>
      <c r="I31" s="27"/>
      <c r="J31" s="28"/>
    </row>
    <row r="32" spans="1:10" ht="30" customHeight="1">
      <c r="A32" s="26" t="str">
        <f t="shared" si="0"/>
        <v/>
      </c>
      <c r="B32" s="27"/>
      <c r="C32" s="31" t="str">
        <f>IF(B32="","",IFERROR(INDEX('سجل المخاطر'!$D$3:$D$32,MATCH(B32,'سجل المخاطر'!$A$3:$A$32,0)),""))</f>
        <v/>
      </c>
      <c r="D32" s="20"/>
      <c r="E32" s="27"/>
      <c r="F32" s="27"/>
      <c r="G32" s="27"/>
      <c r="H32" s="30" t="str">
        <f t="shared" si="1"/>
        <v/>
      </c>
      <c r="I32" s="27"/>
      <c r="J32" s="28"/>
    </row>
  </sheetData>
  <mergeCells count="1">
    <mergeCell ref="A1:J1"/>
  </mergeCells>
  <conditionalFormatting sqref="H3:H32">
    <cfRule type="cellIs" dxfId="8" priority="2" operator="equal">
      <formula>"أخضر"</formula>
    </cfRule>
    <cfRule type="cellIs" dxfId="7" priority="3" operator="equal">
      <formula>"أصفر"</formula>
    </cfRule>
    <cfRule type="cellIs" dxfId="6" priority="4" operator="equal">
      <formula>"أحمر"</formula>
    </cfRule>
  </conditionalFormatting>
  <dataValidations count="1">
    <dataValidation type="list" allowBlank="1" sqref="I3:I32" xr:uid="{00000000-0002-0000-0600-000001000000}">
      <formula1>"تصاعدي,تنازلي,مستقر"</formula1>
      <formula2>0</formula2>
    </dataValidation>
  </dataValidations>
  <pageMargins left="0.3" right="0.3" top="0.4" bottom="0.4"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1">
        <x14:dataValidation type="list" allowBlank="1" xr:uid="{00000000-0002-0000-0600-000000000000}">
          <x14:formula1>
            <xm:f>'سجل المخاطر'!$A$3:$A$32</xm:f>
          </x14:formula1>
          <x14:formula2>
            <xm:f>0</xm:f>
          </x14:formula2>
          <xm:sqref>B3:B32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2"/>
  <sheetViews>
    <sheetView rightToLeft="1" zoomScaleNormal="100" workbookViewId="0">
      <pane ySplit="2" topLeftCell="A3" activePane="bottomLeft" state="frozen"/>
      <selection pane="bottomLeft" sqref="A1:I1"/>
    </sheetView>
  </sheetViews>
  <sheetFormatPr defaultColWidth="8.6328125" defaultRowHeight="14.5"/>
  <cols>
    <col min="1" max="1" width="12" customWidth="1"/>
    <col min="2" max="2" width="11" customWidth="1"/>
    <col min="3" max="3" width="15" customWidth="1"/>
    <col min="4" max="4" width="36" customWidth="1"/>
    <col min="5" max="5" width="18" customWidth="1"/>
    <col min="6" max="6" width="14" customWidth="1"/>
    <col min="7" max="8" width="13" customWidth="1"/>
    <col min="9" max="9" width="12" customWidth="1"/>
  </cols>
  <sheetData>
    <row r="1" spans="1:9" ht="27.75" customHeight="1">
      <c r="A1" s="52" t="s">
        <v>187</v>
      </c>
      <c r="B1" s="52"/>
      <c r="C1" s="52"/>
      <c r="D1" s="52"/>
      <c r="E1" s="52"/>
      <c r="F1" s="52"/>
      <c r="G1" s="52"/>
      <c r="H1" s="52"/>
      <c r="I1" s="52"/>
    </row>
    <row r="2" spans="1:9" ht="42" customHeight="1">
      <c r="A2" s="18" t="s">
        <v>188</v>
      </c>
      <c r="B2" s="18" t="s">
        <v>189</v>
      </c>
      <c r="C2" s="18" t="s">
        <v>190</v>
      </c>
      <c r="D2" s="18" t="s">
        <v>191</v>
      </c>
      <c r="E2" s="18" t="s">
        <v>192</v>
      </c>
      <c r="F2" s="18" t="s">
        <v>193</v>
      </c>
      <c r="G2" s="18" t="s">
        <v>60</v>
      </c>
      <c r="H2" s="18" t="s">
        <v>194</v>
      </c>
      <c r="I2" s="18" t="s">
        <v>195</v>
      </c>
    </row>
    <row r="3" spans="1:9" ht="30" customHeight="1">
      <c r="A3" s="22" t="str">
        <f t="shared" ref="A3:A32" si="0">IF(D3="","","ACT-"&amp;TEXT(ROW()-2,"000"))</f>
        <v>ACT-001</v>
      </c>
      <c r="B3" s="24" t="s">
        <v>196</v>
      </c>
      <c r="C3" s="29" t="s">
        <v>122</v>
      </c>
      <c r="D3" s="23" t="s">
        <v>197</v>
      </c>
      <c r="E3" s="24" t="s">
        <v>93</v>
      </c>
      <c r="F3" s="25">
        <v>46280</v>
      </c>
      <c r="G3" s="24" t="s">
        <v>198</v>
      </c>
      <c r="H3" s="29">
        <f t="shared" ref="H3:H32" ca="1" si="1">IF(D3="","",IF(G3="مكتمل","-",F3-TODAY()))</f>
        <v>15</v>
      </c>
      <c r="I3" s="24" t="str">
        <f t="shared" ref="I3:I32" ca="1" si="2">IF(D3="","",IF(AND(G3&lt;&gt;"مكتمل",F3&lt;TODAY()),"متأخر","في الموعد"))</f>
        <v>في الموعد</v>
      </c>
    </row>
    <row r="4" spans="1:9" ht="30" customHeight="1">
      <c r="A4" s="22" t="str">
        <f t="shared" si="0"/>
        <v>ACT-002</v>
      </c>
      <c r="B4" s="24" t="s">
        <v>199</v>
      </c>
      <c r="C4" s="29" t="s">
        <v>200</v>
      </c>
      <c r="D4" s="23" t="s">
        <v>201</v>
      </c>
      <c r="E4" s="24" t="s">
        <v>98</v>
      </c>
      <c r="F4" s="25">
        <v>46218</v>
      </c>
      <c r="G4" s="24" t="s">
        <v>99</v>
      </c>
      <c r="H4" s="29">
        <f t="shared" ca="1" si="1"/>
        <v>-47</v>
      </c>
      <c r="I4" s="24" t="str">
        <f t="shared" ca="1" si="2"/>
        <v>متأخر</v>
      </c>
    </row>
    <row r="5" spans="1:9" ht="30" customHeight="1">
      <c r="A5" s="22" t="str">
        <f t="shared" si="0"/>
        <v>ACT-003</v>
      </c>
      <c r="B5" s="24" t="s">
        <v>196</v>
      </c>
      <c r="C5" s="29" t="s">
        <v>131</v>
      </c>
      <c r="D5" s="23" t="s">
        <v>202</v>
      </c>
      <c r="E5" s="24" t="s">
        <v>75</v>
      </c>
      <c r="F5" s="25">
        <v>46244</v>
      </c>
      <c r="G5" s="24" t="s">
        <v>203</v>
      </c>
      <c r="H5" s="29" t="str">
        <f t="shared" ca="1" si="1"/>
        <v>-</v>
      </c>
      <c r="I5" s="24" t="str">
        <f t="shared" ca="1" si="2"/>
        <v>في الموعد</v>
      </c>
    </row>
    <row r="6" spans="1:9" ht="30" customHeight="1">
      <c r="A6" s="22" t="str">
        <f t="shared" si="0"/>
        <v>ACT-004</v>
      </c>
      <c r="B6" s="24" t="s">
        <v>204</v>
      </c>
      <c r="C6" s="29" t="s">
        <v>166</v>
      </c>
      <c r="D6" s="23" t="s">
        <v>205</v>
      </c>
      <c r="E6" s="24" t="s">
        <v>111</v>
      </c>
      <c r="F6" s="25">
        <v>46295</v>
      </c>
      <c r="G6" s="24" t="s">
        <v>99</v>
      </c>
      <c r="H6" s="29">
        <f t="shared" ca="1" si="1"/>
        <v>30</v>
      </c>
      <c r="I6" s="24" t="str">
        <f t="shared" ca="1" si="2"/>
        <v>في الموعد</v>
      </c>
    </row>
    <row r="7" spans="1:9" ht="30" customHeight="1">
      <c r="A7" s="22" t="str">
        <f t="shared" si="0"/>
        <v>ACT-005</v>
      </c>
      <c r="B7" s="24" t="s">
        <v>196</v>
      </c>
      <c r="C7" s="29" t="s">
        <v>135</v>
      </c>
      <c r="D7" s="23" t="s">
        <v>206</v>
      </c>
      <c r="E7" s="24" t="s">
        <v>109</v>
      </c>
      <c r="F7" s="25">
        <v>46204</v>
      </c>
      <c r="G7" s="24" t="s">
        <v>198</v>
      </c>
      <c r="H7" s="29">
        <f t="shared" ca="1" si="1"/>
        <v>-61</v>
      </c>
      <c r="I7" s="24" t="str">
        <f t="shared" ca="1" si="2"/>
        <v>متأخر</v>
      </c>
    </row>
    <row r="8" spans="1:9" ht="30" customHeight="1">
      <c r="A8" s="22" t="str">
        <f t="shared" si="0"/>
        <v>ACT-006</v>
      </c>
      <c r="B8" s="24" t="s">
        <v>199</v>
      </c>
      <c r="C8" s="29" t="s">
        <v>207</v>
      </c>
      <c r="D8" s="23" t="s">
        <v>208</v>
      </c>
      <c r="E8" s="24" t="s">
        <v>109</v>
      </c>
      <c r="F8" s="25">
        <v>46296</v>
      </c>
      <c r="G8" s="24" t="s">
        <v>99</v>
      </c>
      <c r="H8" s="29">
        <f t="shared" ca="1" si="1"/>
        <v>31</v>
      </c>
      <c r="I8" s="24" t="str">
        <f t="shared" ca="1" si="2"/>
        <v>في الموعد</v>
      </c>
    </row>
    <row r="9" spans="1:9" ht="30" customHeight="1">
      <c r="A9" s="26" t="str">
        <f t="shared" si="0"/>
        <v/>
      </c>
      <c r="B9" s="27"/>
      <c r="C9" s="27"/>
      <c r="D9" s="20"/>
      <c r="E9" s="27"/>
      <c r="F9" s="28"/>
      <c r="G9" s="27"/>
      <c r="H9" s="30" t="str">
        <f t="shared" ca="1" si="1"/>
        <v/>
      </c>
      <c r="I9" s="30" t="str">
        <f t="shared" ca="1" si="2"/>
        <v/>
      </c>
    </row>
    <row r="10" spans="1:9" ht="30" customHeight="1">
      <c r="A10" s="26" t="str">
        <f t="shared" si="0"/>
        <v/>
      </c>
      <c r="B10" s="27"/>
      <c r="C10" s="27"/>
      <c r="D10" s="20"/>
      <c r="E10" s="27"/>
      <c r="F10" s="28"/>
      <c r="G10" s="27"/>
      <c r="H10" s="30" t="str">
        <f t="shared" ca="1" si="1"/>
        <v/>
      </c>
      <c r="I10" s="30" t="str">
        <f t="shared" ca="1" si="2"/>
        <v/>
      </c>
    </row>
    <row r="11" spans="1:9" ht="30" customHeight="1">
      <c r="A11" s="26" t="str">
        <f t="shared" si="0"/>
        <v/>
      </c>
      <c r="B11" s="27"/>
      <c r="C11" s="27"/>
      <c r="D11" s="20"/>
      <c r="E11" s="27"/>
      <c r="F11" s="28"/>
      <c r="G11" s="27"/>
      <c r="H11" s="30" t="str">
        <f t="shared" ca="1" si="1"/>
        <v/>
      </c>
      <c r="I11" s="30" t="str">
        <f t="shared" ca="1" si="2"/>
        <v/>
      </c>
    </row>
    <row r="12" spans="1:9" ht="30" customHeight="1">
      <c r="A12" s="26" t="str">
        <f t="shared" si="0"/>
        <v/>
      </c>
      <c r="B12" s="27"/>
      <c r="C12" s="27"/>
      <c r="D12" s="20"/>
      <c r="E12" s="27"/>
      <c r="F12" s="28"/>
      <c r="G12" s="27"/>
      <c r="H12" s="30" t="str">
        <f t="shared" ca="1" si="1"/>
        <v/>
      </c>
      <c r="I12" s="30" t="str">
        <f t="shared" ca="1" si="2"/>
        <v/>
      </c>
    </row>
    <row r="13" spans="1:9" ht="30" customHeight="1">
      <c r="A13" s="26" t="str">
        <f t="shared" si="0"/>
        <v/>
      </c>
      <c r="B13" s="27"/>
      <c r="C13" s="27"/>
      <c r="D13" s="20"/>
      <c r="E13" s="27"/>
      <c r="F13" s="28"/>
      <c r="G13" s="27"/>
      <c r="H13" s="30" t="str">
        <f t="shared" ca="1" si="1"/>
        <v/>
      </c>
      <c r="I13" s="30" t="str">
        <f t="shared" ca="1" si="2"/>
        <v/>
      </c>
    </row>
    <row r="14" spans="1:9" ht="30" customHeight="1">
      <c r="A14" s="26" t="str">
        <f t="shared" si="0"/>
        <v/>
      </c>
      <c r="B14" s="27"/>
      <c r="C14" s="27"/>
      <c r="D14" s="20"/>
      <c r="E14" s="27"/>
      <c r="F14" s="28"/>
      <c r="G14" s="27"/>
      <c r="H14" s="30" t="str">
        <f t="shared" ca="1" si="1"/>
        <v/>
      </c>
      <c r="I14" s="30" t="str">
        <f t="shared" ca="1" si="2"/>
        <v/>
      </c>
    </row>
    <row r="15" spans="1:9" ht="30" customHeight="1">
      <c r="A15" s="26" t="str">
        <f t="shared" si="0"/>
        <v/>
      </c>
      <c r="B15" s="27"/>
      <c r="C15" s="27"/>
      <c r="D15" s="20"/>
      <c r="E15" s="27"/>
      <c r="F15" s="28"/>
      <c r="G15" s="27"/>
      <c r="H15" s="30" t="str">
        <f t="shared" ca="1" si="1"/>
        <v/>
      </c>
      <c r="I15" s="30" t="str">
        <f t="shared" ca="1" si="2"/>
        <v/>
      </c>
    </row>
    <row r="16" spans="1:9" ht="30" customHeight="1">
      <c r="A16" s="26" t="str">
        <f t="shared" si="0"/>
        <v/>
      </c>
      <c r="B16" s="27"/>
      <c r="C16" s="27"/>
      <c r="D16" s="20"/>
      <c r="E16" s="27"/>
      <c r="F16" s="28"/>
      <c r="G16" s="27"/>
      <c r="H16" s="30" t="str">
        <f t="shared" ca="1" si="1"/>
        <v/>
      </c>
      <c r="I16" s="30" t="str">
        <f t="shared" ca="1" si="2"/>
        <v/>
      </c>
    </row>
    <row r="17" spans="1:9" ht="30" customHeight="1">
      <c r="A17" s="26" t="str">
        <f t="shared" si="0"/>
        <v/>
      </c>
      <c r="B17" s="27"/>
      <c r="C17" s="27"/>
      <c r="D17" s="20"/>
      <c r="E17" s="27"/>
      <c r="F17" s="28"/>
      <c r="G17" s="27"/>
      <c r="H17" s="30" t="str">
        <f t="shared" ca="1" si="1"/>
        <v/>
      </c>
      <c r="I17" s="30" t="str">
        <f t="shared" ca="1" si="2"/>
        <v/>
      </c>
    </row>
    <row r="18" spans="1:9" ht="30" customHeight="1">
      <c r="A18" s="26" t="str">
        <f t="shared" si="0"/>
        <v/>
      </c>
      <c r="B18" s="27"/>
      <c r="C18" s="27"/>
      <c r="D18" s="20"/>
      <c r="E18" s="27"/>
      <c r="F18" s="28"/>
      <c r="G18" s="27"/>
      <c r="H18" s="30" t="str">
        <f t="shared" ca="1" si="1"/>
        <v/>
      </c>
      <c r="I18" s="30" t="str">
        <f t="shared" ca="1" si="2"/>
        <v/>
      </c>
    </row>
    <row r="19" spans="1:9" ht="30" customHeight="1">
      <c r="A19" s="26" t="str">
        <f t="shared" si="0"/>
        <v/>
      </c>
      <c r="B19" s="27"/>
      <c r="C19" s="27"/>
      <c r="D19" s="20"/>
      <c r="E19" s="27"/>
      <c r="F19" s="28"/>
      <c r="G19" s="27"/>
      <c r="H19" s="30" t="str">
        <f t="shared" ca="1" si="1"/>
        <v/>
      </c>
      <c r="I19" s="30" t="str">
        <f t="shared" ca="1" si="2"/>
        <v/>
      </c>
    </row>
    <row r="20" spans="1:9" ht="30" customHeight="1">
      <c r="A20" s="26" t="str">
        <f t="shared" si="0"/>
        <v/>
      </c>
      <c r="B20" s="27"/>
      <c r="C20" s="27"/>
      <c r="D20" s="20"/>
      <c r="E20" s="27"/>
      <c r="F20" s="28"/>
      <c r="G20" s="27"/>
      <c r="H20" s="30" t="str">
        <f t="shared" ca="1" si="1"/>
        <v/>
      </c>
      <c r="I20" s="30" t="str">
        <f t="shared" ca="1" si="2"/>
        <v/>
      </c>
    </row>
    <row r="21" spans="1:9" ht="30" customHeight="1">
      <c r="A21" s="26" t="str">
        <f t="shared" si="0"/>
        <v/>
      </c>
      <c r="B21" s="27"/>
      <c r="C21" s="27"/>
      <c r="D21" s="20"/>
      <c r="E21" s="27"/>
      <c r="F21" s="28"/>
      <c r="G21" s="27"/>
      <c r="H21" s="30" t="str">
        <f t="shared" ca="1" si="1"/>
        <v/>
      </c>
      <c r="I21" s="30" t="str">
        <f t="shared" ca="1" si="2"/>
        <v/>
      </c>
    </row>
    <row r="22" spans="1:9" ht="30" customHeight="1">
      <c r="A22" s="26" t="str">
        <f t="shared" si="0"/>
        <v/>
      </c>
      <c r="B22" s="27"/>
      <c r="C22" s="27"/>
      <c r="D22" s="20"/>
      <c r="E22" s="27"/>
      <c r="F22" s="28"/>
      <c r="G22" s="27"/>
      <c r="H22" s="30" t="str">
        <f t="shared" ca="1" si="1"/>
        <v/>
      </c>
      <c r="I22" s="30" t="str">
        <f t="shared" ca="1" si="2"/>
        <v/>
      </c>
    </row>
    <row r="23" spans="1:9" ht="30" customHeight="1">
      <c r="A23" s="26" t="str">
        <f t="shared" si="0"/>
        <v/>
      </c>
      <c r="B23" s="27"/>
      <c r="C23" s="27"/>
      <c r="D23" s="20"/>
      <c r="E23" s="27"/>
      <c r="F23" s="28"/>
      <c r="G23" s="27"/>
      <c r="H23" s="30" t="str">
        <f t="shared" ca="1" si="1"/>
        <v/>
      </c>
      <c r="I23" s="30" t="str">
        <f t="shared" ca="1" si="2"/>
        <v/>
      </c>
    </row>
    <row r="24" spans="1:9" ht="30" customHeight="1">
      <c r="A24" s="26" t="str">
        <f t="shared" si="0"/>
        <v/>
      </c>
      <c r="B24" s="27"/>
      <c r="C24" s="27"/>
      <c r="D24" s="20"/>
      <c r="E24" s="27"/>
      <c r="F24" s="28"/>
      <c r="G24" s="27"/>
      <c r="H24" s="30" t="str">
        <f t="shared" ca="1" si="1"/>
        <v/>
      </c>
      <c r="I24" s="30" t="str">
        <f t="shared" ca="1" si="2"/>
        <v/>
      </c>
    </row>
    <row r="25" spans="1:9" ht="30" customHeight="1">
      <c r="A25" s="26" t="str">
        <f t="shared" si="0"/>
        <v/>
      </c>
      <c r="B25" s="27"/>
      <c r="C25" s="27"/>
      <c r="D25" s="20"/>
      <c r="E25" s="27"/>
      <c r="F25" s="28"/>
      <c r="G25" s="27"/>
      <c r="H25" s="30" t="str">
        <f t="shared" ca="1" si="1"/>
        <v/>
      </c>
      <c r="I25" s="30" t="str">
        <f t="shared" ca="1" si="2"/>
        <v/>
      </c>
    </row>
    <row r="26" spans="1:9" ht="30" customHeight="1">
      <c r="A26" s="26" t="str">
        <f t="shared" si="0"/>
        <v/>
      </c>
      <c r="B26" s="27"/>
      <c r="C26" s="27"/>
      <c r="D26" s="20"/>
      <c r="E26" s="27"/>
      <c r="F26" s="28"/>
      <c r="G26" s="27"/>
      <c r="H26" s="30" t="str">
        <f t="shared" ca="1" si="1"/>
        <v/>
      </c>
      <c r="I26" s="30" t="str">
        <f t="shared" ca="1" si="2"/>
        <v/>
      </c>
    </row>
    <row r="27" spans="1:9" ht="30" customHeight="1">
      <c r="A27" s="26" t="str">
        <f t="shared" si="0"/>
        <v/>
      </c>
      <c r="B27" s="27"/>
      <c r="C27" s="27"/>
      <c r="D27" s="20"/>
      <c r="E27" s="27"/>
      <c r="F27" s="28"/>
      <c r="G27" s="27"/>
      <c r="H27" s="30" t="str">
        <f t="shared" ca="1" si="1"/>
        <v/>
      </c>
      <c r="I27" s="30" t="str">
        <f t="shared" ca="1" si="2"/>
        <v/>
      </c>
    </row>
    <row r="28" spans="1:9" ht="30" customHeight="1">
      <c r="A28" s="26" t="str">
        <f t="shared" si="0"/>
        <v/>
      </c>
      <c r="B28" s="27"/>
      <c r="C28" s="27"/>
      <c r="D28" s="20"/>
      <c r="E28" s="27"/>
      <c r="F28" s="28"/>
      <c r="G28" s="27"/>
      <c r="H28" s="30" t="str">
        <f t="shared" ca="1" si="1"/>
        <v/>
      </c>
      <c r="I28" s="30" t="str">
        <f t="shared" ca="1" si="2"/>
        <v/>
      </c>
    </row>
    <row r="29" spans="1:9" ht="30" customHeight="1">
      <c r="A29" s="26" t="str">
        <f t="shared" si="0"/>
        <v/>
      </c>
      <c r="B29" s="27"/>
      <c r="C29" s="27"/>
      <c r="D29" s="20"/>
      <c r="E29" s="27"/>
      <c r="F29" s="28"/>
      <c r="G29" s="27"/>
      <c r="H29" s="30" t="str">
        <f t="shared" ca="1" si="1"/>
        <v/>
      </c>
      <c r="I29" s="30" t="str">
        <f t="shared" ca="1" si="2"/>
        <v/>
      </c>
    </row>
    <row r="30" spans="1:9" ht="30" customHeight="1">
      <c r="A30" s="26" t="str">
        <f t="shared" si="0"/>
        <v/>
      </c>
      <c r="B30" s="27"/>
      <c r="C30" s="27"/>
      <c r="D30" s="20"/>
      <c r="E30" s="27"/>
      <c r="F30" s="28"/>
      <c r="G30" s="27"/>
      <c r="H30" s="30" t="str">
        <f t="shared" ca="1" si="1"/>
        <v/>
      </c>
      <c r="I30" s="30" t="str">
        <f t="shared" ca="1" si="2"/>
        <v/>
      </c>
    </row>
    <row r="31" spans="1:9" ht="30" customHeight="1">
      <c r="A31" s="26" t="str">
        <f t="shared" si="0"/>
        <v/>
      </c>
      <c r="B31" s="27"/>
      <c r="C31" s="27"/>
      <c r="D31" s="20"/>
      <c r="E31" s="27"/>
      <c r="F31" s="28"/>
      <c r="G31" s="27"/>
      <c r="H31" s="30" t="str">
        <f t="shared" ca="1" si="1"/>
        <v/>
      </c>
      <c r="I31" s="30" t="str">
        <f t="shared" ca="1" si="2"/>
        <v/>
      </c>
    </row>
    <row r="32" spans="1:9" ht="30" customHeight="1">
      <c r="A32" s="26" t="str">
        <f t="shared" si="0"/>
        <v/>
      </c>
      <c r="B32" s="27"/>
      <c r="C32" s="27"/>
      <c r="D32" s="20"/>
      <c r="E32" s="27"/>
      <c r="F32" s="28"/>
      <c r="G32" s="27"/>
      <c r="H32" s="30" t="str">
        <f t="shared" ca="1" si="1"/>
        <v/>
      </c>
      <c r="I32" s="30" t="str">
        <f t="shared" ca="1" si="2"/>
        <v/>
      </c>
    </row>
  </sheetData>
  <mergeCells count="1">
    <mergeCell ref="A1:I1"/>
  </mergeCells>
  <conditionalFormatting sqref="G3:G32">
    <cfRule type="cellIs" dxfId="5" priority="4" operator="equal">
      <formula>"مكتمل"</formula>
    </cfRule>
  </conditionalFormatting>
  <conditionalFormatting sqref="I3:I32">
    <cfRule type="cellIs" dxfId="4" priority="2" operator="equal">
      <formula>"متأخر"</formula>
    </cfRule>
    <cfRule type="cellIs" dxfId="3" priority="3" operator="equal">
      <formula>"في الموعد"</formula>
    </cfRule>
  </conditionalFormatting>
  <dataValidations count="2">
    <dataValidation type="list" allowBlank="1" sqref="B3:B32" xr:uid="{00000000-0002-0000-0700-000000000000}">
      <formula1>"خطر,ضابط,مؤشر,قرار"</formula1>
      <formula2>0</formula2>
    </dataValidation>
    <dataValidation type="list" allowBlank="1" sqref="G3:G32" xr:uid="{00000000-0002-0000-0700-000001000000}">
      <formula1>"مفتوح,قيد التنفيذ,مكتمل"</formula1>
      <formula2>0</formula2>
    </dataValidation>
  </dataValidations>
  <pageMargins left="0.3" right="0.3" top="0.4" bottom="0.4" header="0.511811023622047" footer="0.511811023622047"/>
  <pageSetup fitToHeight="0" orientation="landscape" horizontalDpi="300" verticalDpi="30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7"/>
  <sheetViews>
    <sheetView rightToLeft="1" zoomScaleNormal="100" workbookViewId="0">
      <pane ySplit="2" topLeftCell="A3" activePane="bottomLeft" state="frozen"/>
      <selection pane="bottomLeft" sqref="A1:H1"/>
    </sheetView>
  </sheetViews>
  <sheetFormatPr defaultColWidth="8.6328125" defaultRowHeight="14.5"/>
  <cols>
    <col min="1" max="1" width="12" customWidth="1"/>
    <col min="2" max="2" width="11" customWidth="1"/>
    <col min="3" max="3" width="15" customWidth="1"/>
    <col min="4" max="4" width="34" customWidth="1"/>
    <col min="5" max="5" width="15" customWidth="1"/>
    <col min="6" max="7" width="14" customWidth="1"/>
    <col min="8" max="8" width="32" customWidth="1"/>
  </cols>
  <sheetData>
    <row r="1" spans="1:8" ht="27.75" customHeight="1">
      <c r="A1" s="52" t="s">
        <v>209</v>
      </c>
      <c r="B1" s="52"/>
      <c r="C1" s="52"/>
      <c r="D1" s="52"/>
      <c r="E1" s="52"/>
      <c r="F1" s="52"/>
      <c r="G1" s="52"/>
      <c r="H1" s="52"/>
    </row>
    <row r="2" spans="1:8" ht="42" customHeight="1">
      <c r="A2" s="18" t="s">
        <v>210</v>
      </c>
      <c r="B2" s="18" t="s">
        <v>189</v>
      </c>
      <c r="C2" s="18" t="s">
        <v>190</v>
      </c>
      <c r="D2" s="18" t="s">
        <v>211</v>
      </c>
      <c r="E2" s="18" t="s">
        <v>212</v>
      </c>
      <c r="F2" s="18" t="s">
        <v>60</v>
      </c>
      <c r="G2" s="18" t="s">
        <v>213</v>
      </c>
      <c r="H2" s="18" t="s">
        <v>214</v>
      </c>
    </row>
    <row r="3" spans="1:8" ht="31.5" customHeight="1">
      <c r="A3" s="22" t="str">
        <f t="shared" ref="A3:A27" si="0">IF(D3="","","DEC-"&amp;TEXT(ROW()-2,"000"))</f>
        <v>DEC-001</v>
      </c>
      <c r="B3" s="24" t="s">
        <v>196</v>
      </c>
      <c r="C3" s="29" t="s">
        <v>127</v>
      </c>
      <c r="D3" s="23" t="s">
        <v>215</v>
      </c>
      <c r="E3" s="24" t="s">
        <v>216</v>
      </c>
      <c r="F3" s="24" t="s">
        <v>217</v>
      </c>
      <c r="G3" s="25"/>
      <c r="H3" s="23" t="s">
        <v>218</v>
      </c>
    </row>
    <row r="4" spans="1:8" ht="31.5" customHeight="1">
      <c r="A4" s="22" t="str">
        <f t="shared" si="0"/>
        <v>DEC-002</v>
      </c>
      <c r="B4" s="24" t="s">
        <v>219</v>
      </c>
      <c r="C4" s="29" t="s">
        <v>220</v>
      </c>
      <c r="D4" s="23" t="s">
        <v>221</v>
      </c>
      <c r="E4" s="24" t="s">
        <v>222</v>
      </c>
      <c r="F4" s="24" t="s">
        <v>223</v>
      </c>
      <c r="G4" s="25">
        <v>46239</v>
      </c>
      <c r="H4" s="23" t="s">
        <v>224</v>
      </c>
    </row>
    <row r="5" spans="1:8" ht="31.5" customHeight="1">
      <c r="A5" s="22" t="str">
        <f t="shared" si="0"/>
        <v>DEC-003</v>
      </c>
      <c r="B5" s="24" t="s">
        <v>199</v>
      </c>
      <c r="C5" s="29" t="s">
        <v>207</v>
      </c>
      <c r="D5" s="23" t="s">
        <v>225</v>
      </c>
      <c r="E5" s="24" t="s">
        <v>226</v>
      </c>
      <c r="F5" s="24" t="s">
        <v>217</v>
      </c>
      <c r="G5" s="25"/>
      <c r="H5" s="23"/>
    </row>
    <row r="6" spans="1:8" ht="31.5" customHeight="1">
      <c r="A6" s="22" t="str">
        <f t="shared" si="0"/>
        <v>DEC-004</v>
      </c>
      <c r="B6" s="24" t="s">
        <v>204</v>
      </c>
      <c r="C6" s="29" t="s">
        <v>166</v>
      </c>
      <c r="D6" s="23" t="s">
        <v>227</v>
      </c>
      <c r="E6" s="24" t="s">
        <v>216</v>
      </c>
      <c r="F6" s="24" t="s">
        <v>228</v>
      </c>
      <c r="G6" s="25">
        <v>46174</v>
      </c>
      <c r="H6" s="23" t="s">
        <v>229</v>
      </c>
    </row>
    <row r="7" spans="1:8" ht="31.5" customHeight="1">
      <c r="A7" s="26" t="str">
        <f t="shared" si="0"/>
        <v/>
      </c>
      <c r="B7" s="27"/>
      <c r="C7" s="27"/>
      <c r="D7" s="20"/>
      <c r="E7" s="27"/>
      <c r="F7" s="27"/>
      <c r="G7" s="28"/>
      <c r="H7" s="20"/>
    </row>
    <row r="8" spans="1:8" ht="31.5" customHeight="1">
      <c r="A8" s="26" t="str">
        <f t="shared" si="0"/>
        <v/>
      </c>
      <c r="B8" s="27"/>
      <c r="C8" s="27"/>
      <c r="D8" s="20"/>
      <c r="E8" s="27"/>
      <c r="F8" s="27"/>
      <c r="G8" s="28"/>
      <c r="H8" s="20"/>
    </row>
    <row r="9" spans="1:8" ht="31.5" customHeight="1">
      <c r="A9" s="26" t="str">
        <f t="shared" si="0"/>
        <v/>
      </c>
      <c r="B9" s="27"/>
      <c r="C9" s="27"/>
      <c r="D9" s="20"/>
      <c r="E9" s="27"/>
      <c r="F9" s="27"/>
      <c r="G9" s="28"/>
      <c r="H9" s="20"/>
    </row>
    <row r="10" spans="1:8" ht="31.5" customHeight="1">
      <c r="A10" s="26" t="str">
        <f t="shared" si="0"/>
        <v/>
      </c>
      <c r="B10" s="27"/>
      <c r="C10" s="27"/>
      <c r="D10" s="20"/>
      <c r="E10" s="27"/>
      <c r="F10" s="27"/>
      <c r="G10" s="28"/>
      <c r="H10" s="20"/>
    </row>
    <row r="11" spans="1:8" ht="31.5" customHeight="1">
      <c r="A11" s="26" t="str">
        <f t="shared" si="0"/>
        <v/>
      </c>
      <c r="B11" s="27"/>
      <c r="C11" s="27"/>
      <c r="D11" s="20"/>
      <c r="E11" s="27"/>
      <c r="F11" s="27"/>
      <c r="G11" s="28"/>
      <c r="H11" s="20"/>
    </row>
    <row r="12" spans="1:8" ht="31.5" customHeight="1">
      <c r="A12" s="26" t="str">
        <f t="shared" si="0"/>
        <v/>
      </c>
      <c r="B12" s="27"/>
      <c r="C12" s="27"/>
      <c r="D12" s="20"/>
      <c r="E12" s="27"/>
      <c r="F12" s="27"/>
      <c r="G12" s="28"/>
      <c r="H12" s="20"/>
    </row>
    <row r="13" spans="1:8" ht="31.5" customHeight="1">
      <c r="A13" s="26" t="str">
        <f t="shared" si="0"/>
        <v/>
      </c>
      <c r="B13" s="27"/>
      <c r="C13" s="27"/>
      <c r="D13" s="20"/>
      <c r="E13" s="27"/>
      <c r="F13" s="27"/>
      <c r="G13" s="28"/>
      <c r="H13" s="20"/>
    </row>
    <row r="14" spans="1:8" ht="31.5" customHeight="1">
      <c r="A14" s="26" t="str">
        <f t="shared" si="0"/>
        <v/>
      </c>
      <c r="B14" s="27"/>
      <c r="C14" s="27"/>
      <c r="D14" s="20"/>
      <c r="E14" s="27"/>
      <c r="F14" s="27"/>
      <c r="G14" s="28"/>
      <c r="H14" s="20"/>
    </row>
    <row r="15" spans="1:8" ht="31.5" customHeight="1">
      <c r="A15" s="26" t="str">
        <f t="shared" si="0"/>
        <v/>
      </c>
      <c r="B15" s="27"/>
      <c r="C15" s="27"/>
      <c r="D15" s="20"/>
      <c r="E15" s="27"/>
      <c r="F15" s="27"/>
      <c r="G15" s="28"/>
      <c r="H15" s="20"/>
    </row>
    <row r="16" spans="1:8" ht="31.5" customHeight="1">
      <c r="A16" s="26" t="str">
        <f t="shared" si="0"/>
        <v/>
      </c>
      <c r="B16" s="27"/>
      <c r="C16" s="27"/>
      <c r="D16" s="20"/>
      <c r="E16" s="27"/>
      <c r="F16" s="27"/>
      <c r="G16" s="28"/>
      <c r="H16" s="20"/>
    </row>
    <row r="17" spans="1:8" ht="31.5" customHeight="1">
      <c r="A17" s="26" t="str">
        <f t="shared" si="0"/>
        <v/>
      </c>
      <c r="B17" s="27"/>
      <c r="C17" s="27"/>
      <c r="D17" s="20"/>
      <c r="E17" s="27"/>
      <c r="F17" s="27"/>
      <c r="G17" s="28"/>
      <c r="H17" s="20"/>
    </row>
    <row r="18" spans="1:8" ht="31.5" customHeight="1">
      <c r="A18" s="26" t="str">
        <f t="shared" si="0"/>
        <v/>
      </c>
      <c r="B18" s="27"/>
      <c r="C18" s="27"/>
      <c r="D18" s="20"/>
      <c r="E18" s="27"/>
      <c r="F18" s="27"/>
      <c r="G18" s="28"/>
      <c r="H18" s="20"/>
    </row>
    <row r="19" spans="1:8" ht="31.5" customHeight="1">
      <c r="A19" s="26" t="str">
        <f t="shared" si="0"/>
        <v/>
      </c>
      <c r="B19" s="27"/>
      <c r="C19" s="27"/>
      <c r="D19" s="20"/>
      <c r="E19" s="27"/>
      <c r="F19" s="27"/>
      <c r="G19" s="28"/>
      <c r="H19" s="20"/>
    </row>
    <row r="20" spans="1:8" ht="31.5" customHeight="1">
      <c r="A20" s="26" t="str">
        <f t="shared" si="0"/>
        <v/>
      </c>
      <c r="B20" s="27"/>
      <c r="C20" s="27"/>
      <c r="D20" s="20"/>
      <c r="E20" s="27"/>
      <c r="F20" s="27"/>
      <c r="G20" s="28"/>
      <c r="H20" s="20"/>
    </row>
    <row r="21" spans="1:8" ht="31.5" customHeight="1">
      <c r="A21" s="26" t="str">
        <f t="shared" si="0"/>
        <v/>
      </c>
      <c r="B21" s="27"/>
      <c r="C21" s="27"/>
      <c r="D21" s="20"/>
      <c r="E21" s="27"/>
      <c r="F21" s="27"/>
      <c r="G21" s="28"/>
      <c r="H21" s="20"/>
    </row>
    <row r="22" spans="1:8" ht="31.5" customHeight="1">
      <c r="A22" s="26" t="str">
        <f t="shared" si="0"/>
        <v/>
      </c>
      <c r="B22" s="27"/>
      <c r="C22" s="27"/>
      <c r="D22" s="20"/>
      <c r="E22" s="27"/>
      <c r="F22" s="27"/>
      <c r="G22" s="28"/>
      <c r="H22" s="20"/>
    </row>
    <row r="23" spans="1:8" ht="31.5" customHeight="1">
      <c r="A23" s="26" t="str">
        <f t="shared" si="0"/>
        <v/>
      </c>
      <c r="B23" s="27"/>
      <c r="C23" s="27"/>
      <c r="D23" s="20"/>
      <c r="E23" s="27"/>
      <c r="F23" s="27"/>
      <c r="G23" s="28"/>
      <c r="H23" s="20"/>
    </row>
    <row r="24" spans="1:8" ht="31.5" customHeight="1">
      <c r="A24" s="26" t="str">
        <f t="shared" si="0"/>
        <v/>
      </c>
      <c r="B24" s="27"/>
      <c r="C24" s="27"/>
      <c r="D24" s="20"/>
      <c r="E24" s="27"/>
      <c r="F24" s="27"/>
      <c r="G24" s="28"/>
      <c r="H24" s="20"/>
    </row>
    <row r="25" spans="1:8" ht="31.5" customHeight="1">
      <c r="A25" s="26" t="str">
        <f t="shared" si="0"/>
        <v/>
      </c>
      <c r="B25" s="27"/>
      <c r="C25" s="27"/>
      <c r="D25" s="20"/>
      <c r="E25" s="27"/>
      <c r="F25" s="27"/>
      <c r="G25" s="28"/>
      <c r="H25" s="20"/>
    </row>
    <row r="26" spans="1:8" ht="31.5" customHeight="1">
      <c r="A26" s="26" t="str">
        <f t="shared" si="0"/>
        <v/>
      </c>
      <c r="B26" s="27"/>
      <c r="C26" s="27"/>
      <c r="D26" s="20"/>
      <c r="E26" s="27"/>
      <c r="F26" s="27"/>
      <c r="G26" s="28"/>
      <c r="H26" s="20"/>
    </row>
    <row r="27" spans="1:8" ht="31.5" customHeight="1">
      <c r="A27" s="26" t="str">
        <f t="shared" si="0"/>
        <v/>
      </c>
      <c r="B27" s="27"/>
      <c r="C27" s="27"/>
      <c r="D27" s="20"/>
      <c r="E27" s="27"/>
      <c r="F27" s="27"/>
      <c r="G27" s="28"/>
      <c r="H27" s="20"/>
    </row>
  </sheetData>
  <mergeCells count="1">
    <mergeCell ref="A1:H1"/>
  </mergeCells>
  <conditionalFormatting sqref="F3:F27">
    <cfRule type="cellIs" dxfId="2" priority="2" operator="equal">
      <formula>"تمت الموافقة"</formula>
    </cfRule>
    <cfRule type="cellIs" dxfId="1" priority="3" operator="equal">
      <formula>"معلق"</formula>
    </cfRule>
    <cfRule type="cellIs" dxfId="0" priority="4" operator="equal">
      <formula>"مرفوض"</formula>
    </cfRule>
  </conditionalFormatting>
  <dataValidations count="3">
    <dataValidation type="list" allowBlank="1" sqref="B3:B27" xr:uid="{00000000-0002-0000-0800-000000000000}">
      <formula1>"خطر,ضابط,مؤشر,إجراء"</formula1>
      <formula2>0</formula2>
    </dataValidation>
    <dataValidation type="list" allowBlank="1" sqref="E3:E27" xr:uid="{00000000-0002-0000-0800-000001000000}">
      <formula1>"إدارة تنفيذية,لجنة مخاطر,مجلس إدارة"</formula1>
      <formula2>0</formula2>
    </dataValidation>
    <dataValidation type="list" allowBlank="1" sqref="F3:F27" xr:uid="{00000000-0002-0000-0800-000002000000}">
      <formula1>"معلق,تمت الموافقة,مرفوض,مؤجل"</formula1>
      <formula2>0</formula2>
    </dataValidation>
  </dataValidations>
  <pageMargins left="0.3" right="0.3" top="0.4" bottom="0.4" header="0.511811023622047" footer="0.511811023622047"/>
  <pageSetup fitToHeight="0" orientation="landscape"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غلاف</vt:lpstr>
      <vt:lpstr>تعليمات الاستخدام</vt:lpstr>
      <vt:lpstr>الأهداف الاستراتيجية</vt:lpstr>
      <vt:lpstr>سجل المخاطر</vt:lpstr>
      <vt:lpstr>الضوابط</vt:lpstr>
      <vt:lpstr>الأدلة والتأكيد</vt:lpstr>
      <vt:lpstr>مؤشرات المخاطر</vt:lpstr>
      <vt:lpstr>الإجراءات التصحيحية</vt:lpstr>
      <vt:lpstr>القرارات والتصعيد</vt:lpstr>
      <vt:lpstr>بيانات الرسوم</vt:lpstr>
      <vt:lpstr>لوحة القيادة</vt:lpstr>
      <vt:lpstr>'الإجراءات التصحيحية'!Print_Area</vt:lpstr>
      <vt:lpstr>'الأدلة والتأكيد'!Print_Area</vt:lpstr>
      <vt:lpstr>'الأهداف الاستراتيجية'!Print_Area</vt:lpstr>
      <vt:lpstr>الضوابط!Print_Area</vt:lpstr>
      <vt:lpstr>'القرارات والتصعيد'!Print_Area</vt:lpstr>
      <vt:lpstr>'تعليمات الاستخدام'!Print_Area</vt:lpstr>
      <vt:lpstr>'سجل المخاطر'!Print_Area</vt:lpstr>
      <vt:lpstr>غلاف!Print_Area</vt:lpstr>
      <vt:lpstr>'لوحة القيادة'!Print_Area</vt:lpstr>
      <vt:lpstr>'مؤشرات المخاطر'!Print_Area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من سجل المخاطر إلى غرفة القيادة — الأداة التنفيذية</dc:title>
  <dc:subject>أداة تطبيقية لإطار إدارة المخاطر وذكاء القرار (GRC)</dc:subject>
  <dc:creator>امتثال (Imtithal)</dc:creator>
  <dc:description>أداة تنفيذية مبنية على مقال الجوهرة المبارك (LiveGRC) — من سجل المخاطر إلى غرفة القيادة.</dc:description>
  <cp:lastModifiedBy>Yass4479 Baset</cp:lastModifiedBy>
  <cp:revision>1</cp:revision>
  <dcterms:created xsi:type="dcterms:W3CDTF">2026-08-31T09:34:37Z</dcterms:created>
  <dcterms:modified xsi:type="dcterms:W3CDTF">2026-08-31T09:44:12Z</dcterms:modified>
  <dc:language>en-US</dc:language>
</cp:coreProperties>
</file>