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drawings/drawing7.xml" ContentType="application/vnd.openxmlformats-officedocument.drawing+xml"/>
  <Override PartName="/xl/tables/table3.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tables/table4.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hidePivotFieldList="1"/>
  <mc:AlternateContent xmlns:mc="http://schemas.openxmlformats.org/markup-compatibility/2006">
    <mc:Choice Requires="x15">
      <x15ac:absPath xmlns:x15ac="http://schemas.microsoft.com/office/spreadsheetml/2010/11/ac" url="C:\Users\y_abd\Downloads\"/>
    </mc:Choice>
  </mc:AlternateContent>
  <xr:revisionPtr revIDLastSave="0" documentId="13_ncr:1_{55E6338B-51BD-4CFA-8B54-29C330F1A05F}" xr6:coauthVersionLast="47" xr6:coauthVersionMax="47" xr10:uidLastSave="{00000000-0000-0000-0000-000000000000}"/>
  <bookViews>
    <workbookView xWindow="-110" yWindow="-110" windowWidth="25820" windowHeight="15500" xr2:uid="{00000000-000D-0000-FFFF-FFFF00000000}"/>
  </bookViews>
  <sheets>
    <sheet name="01_مقدمة" sheetId="1" r:id="rId1"/>
    <sheet name="02_دليل الاستخدام" sheetId="2" r:id="rId2"/>
    <sheet name="لوحة_المؤشرات_07" sheetId="13" r:id="rId3"/>
    <sheet name="03_إعدادات المنشأة" sheetId="3" r:id="rId4"/>
    <sheet name="pivot" sheetId="14" state="hidden" r:id="rId5"/>
    <sheet name="04_تحليل الفجوات" sheetId="4" r:id="rId6"/>
    <sheet name="05_سجل الأدلة" sheetId="5" r:id="rId7"/>
    <sheet name="06_خطة الإجراءات" sheetId="6" r:id="rId8"/>
    <sheet name="08_ملخص الإدارة" sheetId="8" r:id="rId9"/>
    <sheet name="09_خارطة الانتقال" sheetId="9" r:id="rId10"/>
    <sheet name="10_البيانات الرئيسية" sheetId="10" r:id="rId11"/>
    <sheet name="11_تقرير QA" sheetId="11" r:id="rId12"/>
    <sheet name="12_دليل PivotTables" sheetId="12" r:id="rId13"/>
  </sheets>
  <definedNames>
    <definedName name="APAction">'06_خطة الإجراءات'!$F$5:$F$31</definedName>
    <definedName name="APDue">'06_خطة الإجراءات'!$H$5:$H$31</definedName>
    <definedName name="APOverdue">'06_خطة الإجراءات'!$K$5:$K$31</definedName>
    <definedName name="APPriority">'06_خطة الإجراءات'!$E$5:$E$31</definedName>
    <definedName name="APRank">'06_خطة الإجراءات'!$O$5:$O$31</definedName>
    <definedName name="APReqNo">'06_خطة الإجراءات'!$B$5:$B$31</definedName>
    <definedName name="APSeverity">'06_خطة الإجراءات'!$D$5:$D$31</definedName>
    <definedName name="APStatus">'06_خطة الإجراءات'!$I$5:$I$31</definedName>
    <definedName name="EvidenceStatus">'05_سجل الأدلة'!$H$5:$H$34</definedName>
    <definedName name="GapAction">'04_تحليل الفجوات'!$M$6:$M$40</definedName>
    <definedName name="GapAStatus">'04_تحليل الفجوات'!$P$6:$P$40</definedName>
    <definedName name="GapCategory">'04_تحليل الفجوات'!$B$6:$B$40</definedName>
    <definedName name="GapClose">'04_تحليل الفجوات'!$R$6:$R$40</definedName>
    <definedName name="GapCount">COUNTA('04_تحليل الفجوات'!$D$6:$D$40)</definedName>
    <definedName name="GapDue">'04_تحليل الفجوات'!$O$6:$O$40</definedName>
    <definedName name="GapEvidence">'04_تحليل الفجوات'!$G$6:$G$40</definedName>
    <definedName name="GapEvRef">'04_تحليل الفجوات'!$I$6:$I$40</definedName>
    <definedName name="GapNote">'04_تحليل الفجوات'!$J$6:$J$40</definedName>
    <definedName name="GapNumber">'04_تحليل الفجوات'!$A$6:$A$40</definedName>
    <definedName name="GapPriority">'04_تحليل الفجوات'!$L$6:$L$40</definedName>
    <definedName name="GapReq">'04_تحليل الفجوات'!$D$6:$D$40</definedName>
    <definedName name="GapResp">'04_تحليل الفجوات'!$N$6:$N$40</definedName>
    <definedName name="GapSeverity">'04_تحليل الفجوات'!$K$6:$K$40</definedName>
    <definedName name="GapStatus">'04_تحليل الفجوات'!$F$6:$F$40</definedName>
    <definedName name="GapVerify">'04_تحليل الفجوات'!$Q$6:$Q$40</definedName>
    <definedName name="KPI_Critical">COUNTIF(GapSeverity,"حرج")</definedName>
    <definedName name="KPI_EvidencePct">IFERROR((COUNTIF(GapEvidence,"متوفر")+COUNTIF(GapEvidence,"متوفر جزئيًا")*0.5)/(KPI_Total-COUNTIF(GapEvidence,"لا ينطبق")),0)</definedName>
    <definedName name="KPI_Full">COUNTIF(GapStatus,"مطبق بالكامل")</definedName>
    <definedName name="KPI_Major">COUNTIF(GapSeverity,"رئيسي")</definedName>
    <definedName name="KPI_Minor">COUNTIF(GapSeverity,"ثانوي")</definedName>
    <definedName name="KPI_NA">COUNTIF(GapStatus,"لا ينطبق")</definedName>
    <definedName name="KPI_NoteSev">COUNTIF(GapSeverity,"ملاحظة")</definedName>
    <definedName name="KPI_NotImpl">COUNTIF(GapStatus,"غير مطبق")</definedName>
    <definedName name="KPI_OpenActions">COUNTIF(APStatus,"قيد التنفيذ")+COUNTIF(APStatus,"لم يبدأ")</definedName>
    <definedName name="KPI_OverdueActions">COUNTIF(APStatus,"متأخر")</definedName>
    <definedName name="KPI_Partial">COUNTIF(GapStatus,"مطبق جزئيًا")</definedName>
    <definedName name="KPI_ReadinessPct">IFERROR((KPI_Full+KPI_Partial*0.5)/(KPI_Total-KPI_NA),0)</definedName>
    <definedName name="KPI_Total">GapCount</definedName>
    <definedName name="List_ActionStatus">'10_البيانات الرئيسية'!$E$5:$E$9</definedName>
    <definedName name="List_Category">'10_البيانات الرئيسية'!$F$5:$F$14</definedName>
    <definedName name="List_Evidence">'10_البيانات الرئيسية'!$B$5:$B$8</definedName>
    <definedName name="List_EvidenceType">'10_البيانات الرئيسية'!$G$5:$G$19</definedName>
    <definedName name="List_OrgType">'10_البيانات الرئيسية'!$I$5:$I$7</definedName>
    <definedName name="List_Priority">'10_البيانات الرئيسية'!$D$5:$D$7</definedName>
    <definedName name="List_RoadmapStatus">'10_البيانات الرئيسية'!$J$5:$J$7</definedName>
    <definedName name="List_Severity">'10_البيانات الرئيسية'!$C$5:$C$9</definedName>
    <definedName name="List_Status">'10_البيانات الرئيسية'!$A$5:$A$8</definedName>
    <definedName name="List_YesNo">'10_البيانات الرئيسية'!$H$5:$H$6</definedName>
    <definedName name="OrgAB">'03_إعدادات المنشأة'!$C$10</definedName>
    <definedName name="OrgAssessDate">'03_إعدادات المنشأة'!$C$7</definedName>
    <definedName name="OrgAssessor">'03_إعدادات المنشأة'!$C$8</definedName>
    <definedName name="OrgCity">'03_إعدادات المنشأة'!$C$6</definedName>
    <definedName name="OrgCurrentVer">'03_إعدادات المنشأة'!$C$12</definedName>
    <definedName name="OrgName">'03_إعدادات المنشأة'!$C$4</definedName>
    <definedName name="OrgQM">'03_إعدادات المنشأة'!$C$9</definedName>
    <definedName name="OrgScope">'03_إعدادات المنشأة'!$C$11</definedName>
    <definedName name="OrgTargetVer">'03_إعدادات المنشأة'!$C$13</definedName>
    <definedName name="OrgTransitionDate">'03_إعدادات المنشأة'!$C$14</definedName>
    <definedName name="OrgType">'03_إعدادات المنشأة'!$C$5</definedName>
    <definedName name="_xlnm.Print_Area" localSheetId="0">'01_مقدمة'!$A$1:$F$43</definedName>
    <definedName name="_xlnm.Print_Area" localSheetId="1">'02_دليل الاستخدام'!$A$1:$C$40</definedName>
    <definedName name="_xlnm.Print_Area" localSheetId="3">'03_إعدادات المنشأة'!$A$1:$E$19</definedName>
    <definedName name="_xlnm.Print_Area" localSheetId="5">'04_تحليل الفجوات'!$A$1:$S$44</definedName>
    <definedName name="_xlnm.Print_Area" localSheetId="6">'05_سجل الأدلة'!$A$1:$J$36</definedName>
    <definedName name="_xlnm.Print_Area" localSheetId="7">'06_خطة الإجراءات'!$A$1:$N$33</definedName>
    <definedName name="_xlnm.Print_Area" localSheetId="8">'08_ملخص الإدارة'!$A$1:$G$38</definedName>
    <definedName name="_xlnm.Print_Area" localSheetId="9">'09_خارطة الانتقال'!$A$1:$F$36</definedName>
    <definedName name="_xlnm.Print_Area" localSheetId="10">'10_البيانات الرئيسية'!$A$1:$K$20</definedName>
    <definedName name="_xlnm.Print_Area" localSheetId="11">'11_تقرير QA'!$A$1:$E$45</definedName>
    <definedName name="_xlnm.Print_Area" localSheetId="12">'12_دليل PivotTables'!$A$1:$G$49</definedName>
    <definedName name="RoadmapPhaseNames">'09_خارطة الانتقال'!$A$29:$A$32</definedName>
    <definedName name="RoadmapPhasePct">'09_خارطة الانتقال'!$B$29:$B$32</definedName>
    <definedName name="RoadmapProgressPct">IFERROR(COUNTIF(RoadmapStatusAll,"مكتمل")/COUNTA(RoadmapStatusAll),0)</definedName>
    <definedName name="RoadmapStatusAll">'09_خارطة الانتقال'!$D$6:$D$25</definedName>
    <definedName name="Slicer_الأولوية">#N/A</definedName>
    <definedName name="Slicer_الحالة_الحالية">#N/A</definedName>
    <definedName name="Slicer_المحور">#N/A</definedName>
    <definedName name="Slicer_المسؤول">#N/A</definedName>
    <definedName name="Slicer_تاريخ_الاستحقاق">#N/A</definedName>
    <definedName name="Slicer_حالة_الإجراء">#N/A</definedName>
    <definedName name="Slicer_درجة_الفجوة">#N/A</definedName>
  </definedNames>
  <calcPr calcId="191029"/>
  <pivotCaches>
    <pivotCache cacheId="483" r:id="rId14"/>
    <pivotCache cacheId="487" r:id="rId15"/>
    <pivotCache cacheId="520" r:id="rId16"/>
  </pivotCaches>
  <extLst>
    <ext xmlns:x14="http://schemas.microsoft.com/office/spreadsheetml/2009/9/main" uri="{BBE1A952-AA13-448e-AADC-164F8A28A991}">
      <x14:slicerCaches>
        <x14:slicerCache r:id="rId17"/>
        <x14:slicerCache r:id="rId18"/>
        <x14:slicerCache r:id="rId19"/>
        <x14:slicerCache r:id="rId20"/>
        <x14:slicerCache r:id="rId21"/>
        <x14:slicerCache r:id="rId22"/>
        <x14:slicerCache r:id="rId23"/>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3" l="1"/>
  <c r="D27" i="14"/>
  <c r="B32" i="9"/>
  <c r="B31" i="9"/>
  <c r="B30" i="9"/>
  <c r="B29" i="9"/>
  <c r="A3" i="9"/>
  <c r="A31" i="8"/>
  <c r="A27" i="8"/>
  <c r="B19" i="8"/>
  <c r="B18" i="8"/>
  <c r="B17" i="8"/>
  <c r="B16" i="8"/>
  <c r="B15" i="8"/>
  <c r="B14" i="8"/>
  <c r="B12" i="8"/>
  <c r="B11" i="8"/>
  <c r="B10" i="8"/>
  <c r="B9" i="8"/>
  <c r="B8" i="8"/>
  <c r="B7" i="8"/>
  <c r="B6" i="8"/>
  <c r="B5" i="8"/>
  <c r="A31" i="6"/>
  <c r="A30" i="6"/>
  <c r="A29" i="6"/>
  <c r="A28" i="6"/>
  <c r="A27" i="6"/>
  <c r="A26" i="6"/>
  <c r="A25" i="6"/>
  <c r="A24" i="6"/>
  <c r="A23" i="6"/>
  <c r="A22" i="6"/>
  <c r="A21" i="6"/>
  <c r="A20" i="6"/>
  <c r="A19" i="6"/>
  <c r="A18" i="6"/>
  <c r="A17" i="6"/>
  <c r="A16" i="6"/>
  <c r="A15" i="6"/>
  <c r="A14" i="6"/>
  <c r="A13" i="6"/>
  <c r="A12" i="6"/>
  <c r="A11" i="6"/>
  <c r="A10" i="6"/>
  <c r="A9" i="6"/>
  <c r="A8" i="6"/>
  <c r="A7" i="6"/>
  <c r="A6" i="6"/>
  <c r="A5" i="6"/>
  <c r="A40" i="4"/>
  <c r="A39" i="4"/>
  <c r="A38" i="4"/>
  <c r="A37" i="4"/>
  <c r="A36" i="4"/>
  <c r="A35" i="4"/>
  <c r="A34" i="4"/>
  <c r="A33" i="4"/>
  <c r="A32" i="4"/>
  <c r="A31" i="4"/>
  <c r="A30" i="4"/>
  <c r="A29" i="4"/>
  <c r="A28" i="4"/>
  <c r="A27" i="4"/>
  <c r="A26" i="4"/>
  <c r="A25" i="4"/>
  <c r="A24" i="4"/>
  <c r="A23" i="4"/>
  <c r="A22" i="4"/>
  <c r="A21" i="4"/>
  <c r="A20" i="4"/>
  <c r="A19" i="4"/>
  <c r="A18" i="4"/>
  <c r="A17" i="4"/>
  <c r="A16" i="4"/>
  <c r="D27" i="6" s="1"/>
  <c r="A15" i="4"/>
  <c r="A14" i="4"/>
  <c r="A13" i="4"/>
  <c r="A12" i="4"/>
  <c r="A11" i="4"/>
  <c r="A10" i="4"/>
  <c r="A9" i="4"/>
  <c r="A8" i="4"/>
  <c r="A7" i="4"/>
  <c r="A6" i="4"/>
  <c r="L20" i="6" s="1"/>
  <c r="A3" i="4"/>
  <c r="D29" i="14"/>
  <c r="D28" i="14"/>
  <c r="C29" i="14"/>
  <c r="C27" i="14"/>
  <c r="C28" i="14"/>
  <c r="C25" i="14"/>
  <c r="D30" i="14"/>
  <c r="C32" i="14"/>
  <c r="C31" i="14"/>
  <c r="C30" i="14"/>
  <c r="C26" i="14"/>
  <c r="H8" i="6" l="1"/>
  <c r="J8" i="6" s="1"/>
  <c r="H24" i="6"/>
  <c r="J24" i="6" s="1"/>
  <c r="I18" i="6"/>
  <c r="F18" i="6"/>
  <c r="E6" i="6"/>
  <c r="G28" i="6"/>
  <c r="G13" i="6"/>
  <c r="L19" i="6"/>
  <c r="E7" i="6"/>
  <c r="I19" i="6"/>
  <c r="H7" i="6"/>
  <c r="E22" i="6"/>
  <c r="M14" i="6"/>
  <c r="M15" i="6"/>
  <c r="L23" i="6"/>
  <c r="I6" i="6"/>
  <c r="D26" i="6"/>
  <c r="H22" i="6"/>
  <c r="I17" i="6"/>
  <c r="M13" i="6"/>
  <c r="E5" i="6"/>
  <c r="L29" i="6"/>
  <c r="G22" i="6"/>
  <c r="L13" i="6"/>
  <c r="M24" i="6"/>
  <c r="D21" i="6"/>
  <c r="F11" i="6"/>
  <c r="G6" i="6"/>
  <c r="E27" i="6"/>
  <c r="O27" i="6" s="1"/>
  <c r="L24" i="6"/>
  <c r="I23" i="6"/>
  <c r="M19" i="6"/>
  <c r="D16" i="6"/>
  <c r="L30" i="6"/>
  <c r="I29" i="6"/>
  <c r="F28" i="6"/>
  <c r="C27" i="6"/>
  <c r="M25" i="6"/>
  <c r="G23" i="6"/>
  <c r="D22" i="6"/>
  <c r="H18" i="6"/>
  <c r="E17" i="6"/>
  <c r="L14" i="6"/>
  <c r="I13" i="6"/>
  <c r="F12" i="6"/>
  <c r="C11" i="6"/>
  <c r="M9" i="6"/>
  <c r="G7" i="6"/>
  <c r="D6" i="6"/>
  <c r="I24" i="6"/>
  <c r="D17" i="6"/>
  <c r="E12" i="6"/>
  <c r="H29" i="6"/>
  <c r="E28" i="6"/>
  <c r="L25" i="6"/>
  <c r="F23" i="6"/>
  <c r="C22" i="6"/>
  <c r="M20" i="6"/>
  <c r="G18" i="6"/>
  <c r="H13" i="6"/>
  <c r="L9" i="6"/>
  <c r="I8" i="6"/>
  <c r="K8" i="6" s="1"/>
  <c r="F7" i="6"/>
  <c r="C6" i="6"/>
  <c r="M31" i="6"/>
  <c r="G29" i="6"/>
  <c r="D28" i="6"/>
  <c r="L31" i="6"/>
  <c r="I30" i="6"/>
  <c r="F29" i="6"/>
  <c r="C28" i="6"/>
  <c r="M26" i="6"/>
  <c r="G24" i="6"/>
  <c r="D23" i="6"/>
  <c r="H19" i="6"/>
  <c r="E18" i="6"/>
  <c r="L15" i="6"/>
  <c r="I14" i="6"/>
  <c r="F13" i="6"/>
  <c r="C12" i="6"/>
  <c r="M10" i="6"/>
  <c r="G8" i="6"/>
  <c r="D7" i="6"/>
  <c r="H21" i="6"/>
  <c r="L17" i="6"/>
  <c r="I16" i="6"/>
  <c r="F15" i="6"/>
  <c r="M12" i="6"/>
  <c r="G10" i="6"/>
  <c r="M23" i="6"/>
  <c r="E15" i="6"/>
  <c r="L12" i="6"/>
  <c r="F10" i="6"/>
  <c r="M7" i="6"/>
  <c r="H30" i="6"/>
  <c r="E29" i="6"/>
  <c r="L26" i="6"/>
  <c r="I25" i="6"/>
  <c r="F24" i="6"/>
  <c r="C23" i="6"/>
  <c r="M21" i="6"/>
  <c r="G19" i="6"/>
  <c r="D18" i="6"/>
  <c r="H14" i="6"/>
  <c r="E13" i="6"/>
  <c r="L10" i="6"/>
  <c r="I9" i="6"/>
  <c r="F8" i="6"/>
  <c r="C7" i="6"/>
  <c r="M5" i="6"/>
  <c r="C21" i="6"/>
  <c r="H12" i="6"/>
  <c r="L8" i="6"/>
  <c r="F6" i="6"/>
  <c r="G30" i="6"/>
  <c r="D29" i="6"/>
  <c r="H25" i="6"/>
  <c r="E24" i="6"/>
  <c r="L21" i="6"/>
  <c r="I20" i="6"/>
  <c r="F19" i="6"/>
  <c r="C18" i="6"/>
  <c r="M16" i="6"/>
  <c r="G14" i="6"/>
  <c r="D13" i="6"/>
  <c r="H9" i="6"/>
  <c r="E8" i="6"/>
  <c r="L5" i="6"/>
  <c r="I31" i="6"/>
  <c r="F30" i="6"/>
  <c r="C29" i="6"/>
  <c r="M27" i="6"/>
  <c r="G25" i="6"/>
  <c r="D24" i="6"/>
  <c r="O24" i="6" s="1"/>
  <c r="H20" i="6"/>
  <c r="E19" i="6"/>
  <c r="L16" i="6"/>
  <c r="I15" i="6"/>
  <c r="F14" i="6"/>
  <c r="C13" i="6"/>
  <c r="M11" i="6"/>
  <c r="G9" i="6"/>
  <c r="D8" i="6"/>
  <c r="F31" i="6"/>
  <c r="C30" i="6"/>
  <c r="M28" i="6"/>
  <c r="G26" i="6"/>
  <c r="D25" i="6"/>
  <c r="E20" i="6"/>
  <c r="C14" i="6"/>
  <c r="D9" i="6"/>
  <c r="H5" i="6"/>
  <c r="E31" i="6"/>
  <c r="L28" i="6"/>
  <c r="I27" i="6"/>
  <c r="G21" i="6"/>
  <c r="H16" i="6"/>
  <c r="I11" i="6"/>
  <c r="C9" i="6"/>
  <c r="G5" i="6"/>
  <c r="E26" i="6"/>
  <c r="I22" i="6"/>
  <c r="F21" i="6"/>
  <c r="M18" i="6"/>
  <c r="D15" i="6"/>
  <c r="C31" i="6"/>
  <c r="E21" i="6"/>
  <c r="F16" i="6"/>
  <c r="H6" i="6"/>
  <c r="I28" i="6"/>
  <c r="I12" i="6"/>
  <c r="H31" i="6"/>
  <c r="E30" i="6"/>
  <c r="L27" i="6"/>
  <c r="I26" i="6"/>
  <c r="F25" i="6"/>
  <c r="C24" i="6"/>
  <c r="M22" i="6"/>
  <c r="G20" i="6"/>
  <c r="D19" i="6"/>
  <c r="H15" i="6"/>
  <c r="E14" i="6"/>
  <c r="L11" i="6"/>
  <c r="I10" i="6"/>
  <c r="F9" i="6"/>
  <c r="C8" i="6"/>
  <c r="M6" i="6"/>
  <c r="G31" i="6"/>
  <c r="D30" i="6"/>
  <c r="H26" i="6"/>
  <c r="E25" i="6"/>
  <c r="L22" i="6"/>
  <c r="I21" i="6"/>
  <c r="F20" i="6"/>
  <c r="C19" i="6"/>
  <c r="M17" i="6"/>
  <c r="G15" i="6"/>
  <c r="D14" i="6"/>
  <c r="O14" i="6" s="1"/>
  <c r="H10" i="6"/>
  <c r="E9" i="6"/>
  <c r="L6" i="6"/>
  <c r="I5" i="6"/>
  <c r="F26" i="6"/>
  <c r="D31" i="6"/>
  <c r="E10" i="6"/>
  <c r="F5" i="6"/>
  <c r="G27" i="6"/>
  <c r="C15" i="6"/>
  <c r="G11" i="6"/>
  <c r="C26" i="6"/>
  <c r="H28" i="6"/>
  <c r="F22" i="6"/>
  <c r="G17" i="6"/>
  <c r="E11" i="6"/>
  <c r="I7" i="6"/>
  <c r="C5" i="6"/>
  <c r="D20" i="6"/>
  <c r="O20" i="6" s="1"/>
  <c r="C20" i="6"/>
  <c r="G16" i="6"/>
  <c r="H11" i="6"/>
  <c r="L18" i="6"/>
  <c r="D10" i="6"/>
  <c r="H17" i="6"/>
  <c r="C10" i="6"/>
  <c r="C25" i="6"/>
  <c r="H27" i="6"/>
  <c r="L7" i="6"/>
  <c r="M29" i="6"/>
  <c r="F27" i="6"/>
  <c r="E16" i="6"/>
  <c r="M8" i="6"/>
  <c r="C16" i="6"/>
  <c r="E23" i="6"/>
  <c r="H23" i="6"/>
  <c r="M30" i="6"/>
  <c r="C17" i="6"/>
  <c r="D11" i="6"/>
  <c r="F17" i="6"/>
  <c r="D5" i="6"/>
  <c r="G12" i="6"/>
  <c r="D12" i="6"/>
  <c r="O22" i="6" l="1"/>
  <c r="O17" i="6"/>
  <c r="O19" i="6"/>
  <c r="O5" i="6"/>
  <c r="O30" i="6"/>
  <c r="O6" i="6"/>
  <c r="K24" i="6"/>
  <c r="O28" i="6"/>
  <c r="O7" i="6"/>
  <c r="O8" i="6"/>
  <c r="O11" i="6"/>
  <c r="O10" i="6"/>
  <c r="O13" i="6"/>
  <c r="O31" i="6"/>
  <c r="O9" i="6"/>
  <c r="O18" i="6"/>
  <c r="O15" i="6"/>
  <c r="O25" i="6"/>
  <c r="O29" i="6"/>
  <c r="O16" i="6"/>
  <c r="J27" i="6"/>
  <c r="K27" i="6"/>
  <c r="O26" i="6"/>
  <c r="J12" i="6"/>
  <c r="K12" i="6"/>
  <c r="K22" i="6"/>
  <c r="J22" i="6"/>
  <c r="K17" i="6"/>
  <c r="J17" i="6"/>
  <c r="K30" i="6"/>
  <c r="J30" i="6"/>
  <c r="J9" i="6"/>
  <c r="K9" i="6"/>
  <c r="K16" i="6"/>
  <c r="J16" i="6"/>
  <c r="J11" i="6"/>
  <c r="K11" i="6"/>
  <c r="K31" i="6"/>
  <c r="J31" i="6"/>
  <c r="K13" i="6"/>
  <c r="J13" i="6"/>
  <c r="K19" i="6"/>
  <c r="J19" i="6"/>
  <c r="K23" i="6"/>
  <c r="J23" i="6"/>
  <c r="O23" i="6"/>
  <c r="O21" i="6"/>
  <c r="K26" i="6"/>
  <c r="J26" i="6"/>
  <c r="K6" i="6"/>
  <c r="J6" i="6"/>
  <c r="K18" i="6"/>
  <c r="J18" i="6"/>
  <c r="K7" i="6"/>
  <c r="J7" i="6"/>
  <c r="J28" i="6"/>
  <c r="K28" i="6"/>
  <c r="K5" i="6"/>
  <c r="J5" i="6"/>
  <c r="K14" i="6"/>
  <c r="J14" i="6"/>
  <c r="K10" i="6"/>
  <c r="J10" i="6"/>
  <c r="K20" i="6"/>
  <c r="J20" i="6"/>
  <c r="K21" i="6"/>
  <c r="J21" i="6"/>
  <c r="O12" i="6"/>
  <c r="K15" i="6"/>
  <c r="J15" i="6"/>
  <c r="J25" i="6"/>
  <c r="K25" i="6"/>
  <c r="K29" i="6"/>
  <c r="J29" i="6"/>
  <c r="B23" i="8" l="1"/>
  <c r="B22" i="8"/>
  <c r="B21" i="8"/>
  <c r="B24" i="8"/>
  <c r="B25" i="8"/>
</calcChain>
</file>

<file path=xl/sharedStrings.xml><?xml version="1.0" encoding="utf-8"?>
<sst xmlns="http://schemas.openxmlformats.org/spreadsheetml/2006/main" count="1254" uniqueCount="695">
  <si>
    <t>أداة تحليل فجوات الجاهزية والانتقال</t>
  </si>
  <si>
    <t>ISO/IEC 17020:2026</t>
  </si>
  <si>
    <t>أداة مجانية من امتثال — https://imtithal.store</t>
  </si>
  <si>
    <t>أداة مرافقة لمقال:
«تحديث المواصفة ISO/IEC 17020:2026 — رفع للموثوقية وتحقيق للاستدامة»
بقلم: م. صالح الزهراني
مدير عام اعتماد جهات التفتيش بالمركز السعودي للاعتماد
عضو الفريق الدولي لتحديث المواصفة ISO/IEC 17020:2026
منشور على موقع امتثال — imtithal.store</t>
  </si>
  <si>
    <t>ما هذه الأداة؟</t>
  </si>
  <si>
    <t>أداة عملية شاملة تساعد جهات التفتيش على تقييم مدى جاهزيتها للانتقال إلى النسخة المحدَّثة من المواصفة ISO/IEC 17020:2026، عبر تحليل فجوات منظم (23 متطلبًا موزعة على 10 محاور)، وسجل أدلة، وخطة إجراءات تصحيحية مشتقة تلقائيًا، ولوحة مؤشرات تفاعلية، وملخص جاهز لعرضه على الإدارة، وخارطة انتقال زمنية. جميع الحسابات في الأداة ديناميكية ومترابطة — عدّلي البيانات في «تحليل الفجوات» وستتحدث كل الشيتات الأخرى تلقائيًا.</t>
  </si>
  <si>
    <t>فهرس الأداة</t>
  </si>
  <si>
    <t>مقدمة  (01) ◄</t>
  </si>
  <si>
    <t>دليل الاستخدام  (02) ◄</t>
  </si>
  <si>
    <t>إعدادات المنشأة  (03) ◄</t>
  </si>
  <si>
    <t>تحليل الفجوات  (04) ◄</t>
  </si>
  <si>
    <t>سجل الأدلة  (05) ◄</t>
  </si>
  <si>
    <t>خطة الإجراءات  (06) ◄</t>
  </si>
  <si>
    <t>لوحة المؤشرات  (07) ◄</t>
  </si>
  <si>
    <t>ملخص الإدارة  (08) ◄</t>
  </si>
  <si>
    <t>خارطة الانتقال  (09) ◄</t>
  </si>
  <si>
    <t>البيانات الرئيسية  (10) ◄</t>
  </si>
  <si>
    <t>تقرير QA  (11) ◄</t>
  </si>
  <si>
    <t>دليل PivotTables و Slicers  (12) ◄</t>
  </si>
  <si>
    <t>تنبيه: هذه الأداة مخصصة للتقييم الذاتي وتحليل الفجوات والتخطيط للانتقال، ولا تحل محل المواصفة الرسمية ISO/IEC 17020:2026 أو متطلبات جهة الاعتماد أو التقييم الرسمي أو الاستشارات المهنية. تحتوي الأداة على بيانات تجريبية DEMO DATA لأغراض التوضيح فقط — احذفيها/استبدليها ببيانات منشأتكم الفعلية قبل الاستخدام الرسمي.</t>
  </si>
  <si>
    <t>أداة مجانية من امتثال (IMTITHAL) — https://imtithal.store</t>
  </si>
  <si>
    <t>02 — دليل الاستخدام</t>
  </si>
  <si>
    <t>1) الهدف من الأداة</t>
  </si>
  <si>
    <t>مساعدة جهات التفتيش على تقييم جاهزيتها للانتقال إلى ISO/IEC 17020:2026 بمنهجية منظّمة: تحديد الفجوات، توثيق الأدلة، تقييم شدة كل فجوة وأولويتها، بناء خطة إجراءات تصحيحية، ومتابعة التقدّم حتى اكتمال الانتقال.</t>
  </si>
  <si>
    <t>2) من يستخدم الأداة؟</t>
  </si>
  <si>
    <t>مدير الجودة/المسؤول عن الاعتماد داخل جهة التفتيش، فريق الإدارة العليا عند مراجعة نتائج التقييم، وكذلك الاستشاريون الذين يرافقون جهات التفتيش في رحلة التحول نحو النسخة المحدَّثة.</t>
  </si>
  <si>
    <t>3) كيفية البدء</t>
  </si>
  <si>
    <t>1. افتحي شيت «03_إعدادات المنشأة» وعبّئي بيانات منشأتكم (تُستبدل بيانات DEMO التجريبية).
2. انتقلي إلى شيت «04_تحليل الفجوات» وراجعي المتطلبات الـ23 بنفس ترتيبها.
3. لا حاجة لإعادة إدخال بيانات الإجراءات أو المؤشرات في أي شيت آخر — كلها تُشتق تلقائيًا.</t>
  </si>
  <si>
    <t>4) كيفية تنفيذ تحليل الفجوات</t>
  </si>
  <si>
    <t>لكل متطلب في شيت «تحليل الفجوات»: اختاري «الحالة الحالية» من القائمة، ثم «توفر الدليل»، ثم دوّني الفجوة/الملاحظة إن وُجدت، وحدّدي «درجة الفجوة» و«الأولوية». إذا اخترتِ «لا ينطبق» في الحالة أو الدليل، يجب تعبئة عمود «مبرر عدم الانطباق» — الأداة تنبّهك تلقائيًا إن لم تفعلي.</t>
  </si>
  <si>
    <t>5) كيفية تسجيل الأدلة</t>
  </si>
  <si>
    <t>أضيفي صفًا جديدًا في شيت «05_سجل الأدلة» لكل وثيقة/سجل داعم، واربطيه برقم المتطلب المناسب من شيت تحليل الفجوات عبر عمود «رقم المتطلب» (قائمة منسدلة)، ثم دوّني نوع الدليل وحالته ومكان حفظه.</t>
  </si>
  <si>
    <t>6) كيفية إنشاء الإجراءات</t>
  </si>
  <si>
    <t>في شيت «06_خطة الإجراءات»، أضيفي صفًا جديدًا واختاري «رقم المتطلب» من القائمة المنسدلة فقط — ستُشتق بقية الأعمدة (الفجوة، الشدة، الأولوية، الإجراء، المسؤول، الموعد، الحالة) تلقائيًا من شيت تحليل الفجوات. لتحديث حالة إجراء قائم، عدّلي «حالة الإجراء» في شيت تحليل الفجوات مباشرة.</t>
  </si>
  <si>
    <t>7) كيفية قراءة لوحة المؤشرات (Dashboard)</t>
  </si>
  <si>
    <t>أعلى اللوحة: نظام تنبيهات يظهر تلقائيًا عند وجود فجوات حرجة أو إجراءات متأخرة. تحته: 10 بطاقات مؤشرات رئيسية. أسفله: 6 رسوم بيانية توضّح الجاهزية حسب المحور، توزيع الحالات والشدة والأولويات وحالة الإجراءات وتقدّم خارطة الانتقال.</t>
  </si>
  <si>
    <t>8) كيفية تفسير نسبة الجاهزية</t>
  </si>
  <si>
    <t>منهجية الاحتساب: «مطبَّق بالكامل» = 100%، «مطبَّق جزئيًا» = 50%، «غير مطبَّق» = 0%، أما «لا ينطبق» فيُستبعد بالكامل من المقام (لا يُحسب ضمن العدد الكلي). النسبة النهائية = (عدد المطبَّق بالكامل + عدد المطبَّق جزئيًا × 0.5) ÷ (إجمالي المتطلبات − عدد «لا ينطبق»). «جاهزية الأدلة %» تُحسب بنفس المنطق على عمود «توفر الدليل».</t>
  </si>
  <si>
    <t>9) كيفية التعامل مع الفجوات الحرجة (Critical Gaps)</t>
  </si>
  <si>
    <t>أي متطلب بدرجة فجوة «حرج» يُظهر تنبيهًا أحمر بارزًا أعلى لوحة المؤشرات وملخص الإدارة، بصرف النظر عن ارتفاع نسبة الجاهزية العامة — الأداة مصمَّمة عمدًا بحيث لا يمكن لنسبة جاهزية مرتفعة أن تُخفي وجود فجوة حرجة. عالجي هذه الفجوات أولاً بصرف النظر عن أولويات أخرى، وتابعي إغلاقها عبر خطة الإجراءات.</t>
  </si>
  <si>
    <t>10) كيفية استخدام خارطة الانتقال</t>
  </si>
  <si>
    <t>في شيت «09_خارطة الانتقال»، حدّثي حالة كل بند (لم يبدأ/قيد التنفيذ/مكتمل) بحسب تقدّمكم الفعلي. «تاريخ الهدف للانتقال» حقل قابل للتعديل بالكامل من شيت إعدادات المنشأة — عدّليه إذا زوّدكم مركز الاعتماد الوطني بموعد مختلف.</t>
  </si>
  <si>
    <t>منهجية الاحتساب (ملخص فني)</t>
  </si>
  <si>
    <t>درجة الجاهزية لكل بند = 1 إذا «مطبَّق بالكامل»، 0.5 إذا «مطبَّق جزئيًا»، 0 إذا «غير مطبَّق»، ومُستبعد إذا «لا ينطبق». نسبة الجاهزية العامة = متوسط درجات الجاهزية على المتطلبات القابلة للاحتساب فقط. لا تُخفي الأداة أي فجوة حرجة بصرف النظر عن هذه النسبة — راجعي التنبيهات دائمًا أولاً.</t>
  </si>
  <si>
    <t>إخلاء المسؤولية</t>
  </si>
  <si>
    <t>هذه الأداة مخصصة للتقييم الذاتي وتحليل الفجوات والتخطيط للانتقال، ولا تحل محل المواصفة الرسمية ISO/IEC 17020:2026 أو متطلبات جهة الاعتماد أو التقييم الرسمي أو الاستشارات المهنية.</t>
  </si>
  <si>
    <t>03 — إعدادات المنشأة</t>
  </si>
  <si>
    <t>عبّئي هذه البيانات مرة واحدة؛ ستظهر تلقائيًا في لوحة المؤشرات وملخص الإدارة وخارطة الانتقال</t>
  </si>
  <si>
    <t>اسم المنشأة</t>
  </si>
  <si>
    <t>شركة المسار السعودي للتفتيش الفني (DEMO – بيانات تجريبية)</t>
  </si>
  <si>
    <t>نوع جهة التفتيش</t>
  </si>
  <si>
    <t>النوع A – طرف ثالث محايد ومستقل</t>
  </si>
  <si>
    <t>المدينة</t>
  </si>
  <si>
    <t>الدمام</t>
  </si>
  <si>
    <t>تاريخ التقييم</t>
  </si>
  <si>
    <t>اسم المقيّم</t>
  </si>
  <si>
    <t>م. نورة القحطاني (تجريبي)</t>
  </si>
  <si>
    <t>مدير الجودة</t>
  </si>
  <si>
    <t>م. خالد العتيبي (تجريبي)</t>
  </si>
  <si>
    <t>جهة الاعتماد</t>
  </si>
  <si>
    <t>المركز السعودي للاعتماد (SAC)</t>
  </si>
  <si>
    <t>نطاق الاعتماد</t>
  </si>
  <si>
    <t>تفتيش المنشآت الصناعية ومعدات الرفع والأوعية تحت الضغط</t>
  </si>
  <si>
    <t>الإصدار الحالي</t>
  </si>
  <si>
    <t>ISO/IEC 17020:2012</t>
  </si>
  <si>
    <t>الإصدار المستهدف</t>
  </si>
  <si>
    <t>تاريخ الهدف للانتقال</t>
  </si>
  <si>
    <t>ملاحظة: «تاريخ الهدف للانتقال» حقل قابل للتعديل من قِبلكم؛ القيمة الافتراضية (2029-03-27) مبنية على مهلة 3 سنوات من تاريخ تدشين المواصفة (2026-03-27) كما ورد في مصادر عامة متعددة، وليست تعميمًا رسميًا صادرًا عن جهة اعتمادكم — يُرجى التأكيد مباشرة مع مركز الاعتماد الوطني.</t>
  </si>
  <si>
    <t>04 — تحليل الفجوات: الجاهزية للانتقال إلى ISO/IEC 17020:2026</t>
  </si>
  <si>
    <t>غيّري «الحالة الحالية» وبقية الحقول لكل بند — تتحدّث لوحة المؤشرات وملخّص الإدارة تلقائيًا</t>
  </si>
  <si>
    <t>القيم بين علامتي « » تُحسب تلقائيًا من الجدول أدناه — لا تُعدَّل يدويًا</t>
  </si>
  <si>
    <t>الرقم</t>
  </si>
  <si>
    <t>المحور</t>
  </si>
  <si>
    <t>مرجع البند</t>
  </si>
  <si>
    <t>المتطلب</t>
  </si>
  <si>
    <t>إرشادات التطبيق</t>
  </si>
  <si>
    <t>الحالة الحالية</t>
  </si>
  <si>
    <t>توفر الدليل</t>
  </si>
  <si>
    <t>مبرر عدم الانطباق</t>
  </si>
  <si>
    <t>مرجع الدليل</t>
  </si>
  <si>
    <t>الفجوة / الملاحظة</t>
  </si>
  <si>
    <t>درجة الفجوة</t>
  </si>
  <si>
    <t>الأولوية</t>
  </si>
  <si>
    <t>الإجراء المطلوب</t>
  </si>
  <si>
    <t>المسؤول</t>
  </si>
  <si>
    <t>تاريخ الاستحقاق</t>
  </si>
  <si>
    <t>حالة الإجراء</t>
  </si>
  <si>
    <t>التحقق من الإغلاق</t>
  </si>
  <si>
    <t>تاريخ الإغلاق</t>
  </si>
  <si>
    <t>التصنيف والاستقلالية</t>
  </si>
  <si>
    <t>تحديد تصنيف الجهة (النوع A لأطراف ثالثة محايدة ومستقلة إداريًا وتنظيميًا، أو النوع Non-A) وتوثيق أساس هذا التصنيف، بما يتوافق مع النموذج المبسّط في النسخة المحدّثة.</t>
  </si>
  <si>
    <t>راجعي الهيكل التنظيمي وعلاقات الملكية والتبعية الإدارية، ووثّقي قرار التصنيف واعتمديه من الإدارة العليا.</t>
  </si>
  <si>
    <t>مطبق جزئيًا</t>
  </si>
  <si>
    <t>متوفر جزئيًا</t>
  </si>
  <si>
    <t>EV-01</t>
  </si>
  <si>
    <t>أساس التصنيف موثّق ضمن اللائحة الداخلية دون قرار رسمي معتمد من الإدارة العليا.</t>
  </si>
  <si>
    <t>رئيسي</t>
  </si>
  <si>
    <t>عالية</t>
  </si>
  <si>
    <t>استكمال توثيق واعتماد قرار التصنيف رسميًا من الإدارة العليا.</t>
  </si>
  <si>
    <t>قيد التنفيذ</t>
  </si>
  <si>
    <t>لا</t>
  </si>
  <si>
    <t>مراجعة نطاق الاعتماد والوثائق التعريفية بما يعكس اتساع مجال تطبيق المواصفة وتحديث عنوانها.</t>
  </si>
  <si>
    <t>راجعي شهادة الاعتماد والوثائق التسويقية والتعاقدية للتأكد من توافقها مع النطاق المحدّث.</t>
  </si>
  <si>
    <t>مطبق بالكامل</t>
  </si>
  <si>
    <t>متوفر</t>
  </si>
  <si>
    <t>EV-02</t>
  </si>
  <si>
    <t>الحياد</t>
  </si>
  <si>
    <t>تحديد وتوثيق مصادر التهديد للحياد الناشئة عن العلاقات التنظيمية أو الاستعانة بمصادر خارجية أو الضغوط المالية بتفصيل أكبر.</t>
  </si>
  <si>
    <t>حدّثي سجل مخاطر الحياد ليغطي هذه المصادر تحديدًا، وراجعيه دوريًا مع أصحاب الصلاحية.</t>
  </si>
  <si>
    <t>غير مطبق</t>
  </si>
  <si>
    <t>غير متوفر</t>
  </si>
  <si>
    <t>لا يوجد سجل مخاطر حياد موسّع؛ الاكتفاء بإقرارات حياد فردية دون تحليل منهجي لمصادر التهديد.</t>
  </si>
  <si>
    <t>حرج</t>
  </si>
  <si>
    <t>بناء سجل مخاطر حياد موسّع يغطي العلاقات التنظيمية والاستعانة بمصادر خارجية والضغوط المالية.</t>
  </si>
  <si>
    <t>مسؤول الحياد</t>
  </si>
  <si>
    <t>متأخر</t>
  </si>
  <si>
    <t>تعزيز آليات حماية الحياد والسرية وربطها بإجراءات موثّقة وقابلة للتدقيق، بما يشمل تعارض المصالح المحتمل.</t>
  </si>
  <si>
    <t>تأكدي من وجود إقرارات حياد موقّعة من جميع العاملين المعنيين وآلية تصعيد واضحة لأي تعارض مصالح.</t>
  </si>
  <si>
    <t>EV-03</t>
  </si>
  <si>
    <t>آلية تصعيد تعارض المصالح غير موثّقة كإجراء مستقل.</t>
  </si>
  <si>
    <t>متوسطة</t>
  </si>
  <si>
    <t>توثيق إجراء مستقل لتصعيد ومعالجة حالات تعارض المصالح.</t>
  </si>
  <si>
    <t>المخاطر والفرص</t>
  </si>
  <si>
    <t>توسيع نطاق تحليل المخاطر والفرص ليشمل مخاطر التشغيل وصحة نتائج التفتيش إضافة إلى الحياد، مع خطة للتجنّب أو التخفيف.</t>
  </si>
  <si>
    <t>اربطي سجل المخاطر والفرص بالعمليات التشغيلية لا بمحور الحياد فقط، وحدّدي لكل مخاطرة إجراء استجابة.</t>
  </si>
  <si>
    <t>سجل المخاطر الحالي يقتصر على مخاطر الحياد ولا يغطي مخاطر التشغيل وصحة النتائج.</t>
  </si>
  <si>
    <t>توسيع سجل المخاطر والفرص ليشمل المخاطر التشغيلية مع خطط استجابة موثقة.</t>
  </si>
  <si>
    <t>لم يبدأ</t>
  </si>
  <si>
    <t>تحليل مدى كفاية التغطية التأمينية لأنشطة التفتيش، ووضع منهجية موثّقة وواضحة لكيفية احتساب هذه الكفاية.</t>
  </si>
  <si>
    <t>راجعي وثيقة التأمين الحالية مقابل حجم الأنشطة والمخاطر المحتملة، ووثّقي أسلوب الحساب المعتمد.</t>
  </si>
  <si>
    <t>لا توجد منهجية موثقة لتحليل كفاية التغطية التأمينية؛ التجديد يتم دون تحليل رسمي.</t>
  </si>
  <si>
    <t>إعداد منهجية موثّقة لتحليل واحتساب كفاية التغطية التأمينية ومراجعتها سنويًا.</t>
  </si>
  <si>
    <t>الإدارة المالية / مدير الجودة</t>
  </si>
  <si>
    <t>تحديد دورية مناسبة (غير مُلزَم أن تكون سنوية) لمراجعة المخاطر والفرص ضمن المراجعة الداخلية ومراجعة الإدارة.</t>
  </si>
  <si>
    <t>حدّدي الدورية رسميًا في إجراء موثّق مع مراعاة حجم المنشأة ونوع الخدمات المقدَّمة.</t>
  </si>
  <si>
    <t>EV-04</t>
  </si>
  <si>
    <t>الموارد والكفاءة</t>
  </si>
  <si>
    <t>اعتماد أساليب تواكب التقنيات الحديثة لإثبات استمرارية كفاءة العاملين والمعدات ومقدّمي الخدمات الخارجيين دون الحضور الفعلي الدائم بالموقع.</t>
  </si>
  <si>
    <t>قيّمي إمكانية استخدام أساليب تحقق عن بُعد (مراجعة تسجيلات، اختبارات إلكترونية) لتوثيق استمرارية الكفاءة.</t>
  </si>
  <si>
    <t>EV-05</t>
  </si>
  <si>
    <t>التحقق عن بُعد مطبّق جزئيًا لفئة واحدة من العاملين فقط.</t>
  </si>
  <si>
    <t>ثانوي</t>
  </si>
  <si>
    <t>توسيع أسلوب التحقق عن بُعد ليشمل جميع فئات العاملين والموارد الخارجية.</t>
  </si>
  <si>
    <t>مسؤول الموارد البشرية</t>
  </si>
  <si>
    <t>تحديث آليات متابعة الكفاءة لتشمل مراقبة مستمرة تربط بين التدريب والتأهيل والتفويض وإعادة التقييم الدوري.</t>
  </si>
  <si>
    <t>راجعي مصفوفة الكفاءة الحالية وأضيفي مؤشرات متابعة مستمرة بدلاً من الاكتفاء بالتقييم السنوي.</t>
  </si>
  <si>
    <t>مصفوفة الكفاءة تُحدَّث سنويًا فقط دون مؤشرات مراقبة مستمرة.</t>
  </si>
  <si>
    <t>تطوير مصفوفة كفاءة ديناميكية بمؤشرات مراقبة مستمرة.</t>
  </si>
  <si>
    <t>تنفيذ وتوثيق تفتيش دوري (ولو صوري) للمجالات ضمن نطاق الاعتماد غير المطبَّقة بانتظام، والتحقق من نتائجه.</t>
  </si>
  <si>
    <t>ضعي جدولاً سنويًا لتغطية هذه المجالات ووثّقي نتائج كل عملية ولو كانت تدريبية.</t>
  </si>
  <si>
    <t>EV-06</t>
  </si>
  <si>
    <t>التغطية تتم لبعض المجالات فقط دون جدول سنوي شامل.</t>
  </si>
  <si>
    <t>منخفضة</t>
  </si>
  <si>
    <t>إعداد جدول سنوي شامل للتفتيش الدوري/الصوري لكل مجالات النطاق غير المفعّلة.</t>
  </si>
  <si>
    <t>أنشطة وإجراءات التفتيش</t>
  </si>
  <si>
    <t>توضيح أساليب التفتيش المعتمدة وطريقة التعامل مع الانحرافات، وضمان الاتساق في اتخاذ القرار بين المفتشين.</t>
  </si>
  <si>
    <t>حدّثي إجراءات التفتيش لتوضيح معايير اتخاذ القرار، وأجري معايرة دورية بين المفتشين.</t>
  </si>
  <si>
    <t>EV-07</t>
  </si>
  <si>
    <t>التحقق من صحة وموثوقية أي أدوات أو برمجيات رقمية تُستخدم في عمليات التفتيش أو تسجيل نتائجه.</t>
  </si>
  <si>
    <t>وثّقي عملية التحقق (Validation) لأي نظام أو تطبيق رقمي يُستخدم في جمع أو تسجيل بيانات التفتيش.</t>
  </si>
  <si>
    <t>لا يوجد سجل تحقق (Validation) موثّق لأدوات التفتيش الرقمية المستخدمة حاليًا.</t>
  </si>
  <si>
    <t>توثيق عملية تحقق رسمية لكل أداة/برنامج رقمي يُستخدم في التفتيش.</t>
  </si>
  <si>
    <t>مسؤول تقنية المعلومات</t>
  </si>
  <si>
    <t>البيانات والمعلومات</t>
  </si>
  <si>
    <t>تعزيز متطلبات أمن البيانات وسلامتها وقابليتها للتتبع، بما يشمل السجلات الإلكترونية.</t>
  </si>
  <si>
    <t>راجعي سياسة حماية البيانات وآليات النسخ الاحتياطي والصلاحيات، وتأكدي من إمكانية تتبع أي تعديل على السجلات.</t>
  </si>
  <si>
    <t>EV-08</t>
  </si>
  <si>
    <t>سياسة حماية البيانات لا تغطي تتبع التعديلات (Audit Trail) على السجلات الإلكترونية.</t>
  </si>
  <si>
    <t>تفعيل خاصية تتبع التعديلات على السجلات الإلكترونية وتحديث السياسة.</t>
  </si>
  <si>
    <t>وضع ضوابط موثّقة عند اعتماد التفتيش عن بُعد أو العمليات الآلية جزئيًا ضمن منهجية التفتيش.</t>
  </si>
  <si>
    <t>حدّدي الحالات التي يُسمح فيها بالتفتيش عن بُعد والشروط الواجب توفرها لضمان موثوقية النتيجة.</t>
  </si>
  <si>
    <t>لا ينطبق</t>
  </si>
  <si>
    <t>الجهة لا تعتمد التفتيش عن بُعد أو العمليات الآلية حاليًا ضمن نطاق اعتمادها الحالي.</t>
  </si>
  <si>
    <t>العميل والاتصال</t>
  </si>
  <si>
    <t>التأكد من إبلاغ العملاء وأصحاب المصلحة بتصنيف الجهة (Type A / Non-A) ونطاق اعتمادها بوضوح وشفافية.</t>
  </si>
  <si>
    <t>راجعي نماذج العروض والعقود والتقارير للتأكد من ذكر التصنيف بوضوح عند الحاجة.</t>
  </si>
  <si>
    <t>EV-09</t>
  </si>
  <si>
    <t>التأكد من احتفاظ الجهة بالتحكم والمساءلة الكاملة عن أي أنشطة تفتيش أو خدمات مُسندة لمصادر خارجية.</t>
  </si>
  <si>
    <t>راجعي عقود مقدّمي الخدمات الخارجيين وآلية الرقابة على مخرجاتهم قبل اعتمادها.</t>
  </si>
  <si>
    <t>EV-10</t>
  </si>
  <si>
    <t>آلية مراجعة مخرجات مقدّمي الخدمات الخارجيين غير موثّقة كإجراء رسمي.</t>
  </si>
  <si>
    <t>توثيق إجراء رسمي لمراجعة واعتماد مخرجات مقدّمي الخدمات الخارجيين.</t>
  </si>
  <si>
    <t>مدير المشتريات / مدير الجودة</t>
  </si>
  <si>
    <t>الشكاوى والتظلمات</t>
  </si>
  <si>
    <t>تحديث إجراءات استقبال ومعالجة الشكاوى والتظلمات بما يحقق وضوحًا واتساقًا أكبر ويتماشى مع بقية سلسلة مواصفات ISO/IEC 17000.</t>
  </si>
  <si>
    <t>راجعي نموذج ودورة معالجة الشكاوى والتظلمات وتأكدي من تحديد مهل زمنية واضحة لكل مرحلة.</t>
  </si>
  <si>
    <t>EV-11</t>
  </si>
  <si>
    <t>المهل الزمنية لمعالجة التظلمات غير محدَّدة صراحة في الإجراء الحالي.</t>
  </si>
  <si>
    <t>تحديث إجراء الشكاوى والتظلمات بمهل زمنية واضحة لكل مرحلة.</t>
  </si>
  <si>
    <t>تحليل الشكاوى والتظلمات دوريًا لاستخلاص اتجاهات تُغذّي سجل المخاطر والفرص وخطط التحسين.</t>
  </si>
  <si>
    <t>أنشئي تقريرًا دوريًا يلخّص أنواع الشكاوى المتكررة ويربطها بإجراءات تصحيحية أو تحسينية.</t>
  </si>
  <si>
    <t>لا يوجد تحليل اتجاهات دوري للشكاوى؛ يتم التعامل مع كل شكوى بشكل منفرد.</t>
  </si>
  <si>
    <t>إعداد تقرير تحليل اتجاهات شكاوى نصف سنوي وربطه بسجل المخاطر.</t>
  </si>
  <si>
    <t>نظام الإدارة والتحسين</t>
  </si>
  <si>
    <t>مواءمة العناصر المشتركة لنظام الإدارة مع التحديثات الحديثة في سلسلة مواصفات ISO/IEC 17000 (مثل 17025 و17065).</t>
  </si>
  <si>
    <t>قارني بنود نظام الإدارة الحالي مع أي تحديثات صدرت في مواصفات مشابهة معتمدة لدى الجهة إن وجدت.</t>
  </si>
  <si>
    <t>EV-12</t>
  </si>
  <si>
    <t>لم تُجرَ مقارنة رسمية بعد بين نظام الإدارة الحالي والعناصر المشتركة المحدَّثة.</t>
  </si>
  <si>
    <t>ملاحظة</t>
  </si>
  <si>
    <t>إجراء مراجعة مقارنة رسمية لعناصر نظام الإدارة المشتركة وتوثيق النتائج.</t>
  </si>
  <si>
    <t>تحديث منهجية مراجعة الإدارة لتراعي المرونة في الدورية وتغطي مخرجات تحليل المخاطر والفرص والتغطية التأمينية والشكاوى.</t>
  </si>
  <si>
    <t>حدّثي جدول أعمال مراجعة الإدارة ليشمل هذه المخرجات كبنود أساسية.</t>
  </si>
  <si>
    <t>EV-13</t>
  </si>
  <si>
    <t>التأكد من أن مخرجات التدقيق الداخلي ومراجعة الإدارة تُترجَم إلى إجراءات تحسين موثّقة ومتابَعة حتى الإغلاق.</t>
  </si>
  <si>
    <t>استخدمي خطة إجراءات موحدة (كهذه الأداة) لمتابعة كل ملاحظة حتى إغلاقها والتحقق من فعاليتها.</t>
  </si>
  <si>
    <t>EV-14</t>
  </si>
  <si>
    <t>آخر ملاحظات التدقيق الداخلي أُغلقت دون توثيق التحقق من فعالية الإجراء.</t>
  </si>
  <si>
    <t>توثيق التحقق من فعالية إجراءات إغلاق ملاحظات التدقيق الداخلي.</t>
  </si>
  <si>
    <t>مكتمل</t>
  </si>
  <si>
    <t>قيد المراجعة</t>
  </si>
  <si>
    <t>الانتقال إلى إصدار 2026</t>
  </si>
  <si>
    <t>اقتناء النسخة الرسمية المحدّثة من المواصفة ISO/IEC 17020:2026 وتدريب المسؤولين والمعنيين على متطلباتها الجديدة.</t>
  </si>
  <si>
    <t>خصّصي ميزانية وخطة تدريب داخلية، ووثّقي حضور المعنيين وتقييم فهمهم للتحديثات.</t>
  </si>
  <si>
    <t>EV-15</t>
  </si>
  <si>
    <t>تم اقتناء النسخة الرسمية، ولم يبدأ برنامج التدريب الداخلي بعد.</t>
  </si>
  <si>
    <t>إطلاق برنامج تدريب داخلي على متطلبات النسخة المحدّثة لكل المعنيين.</t>
  </si>
  <si>
    <t>التواصل مع مركز الاعتماد الوطني لفهم الخطة الانتقالية التفصيلية، واستكمال التطبيق الكامل خلال المهلة المحدَّدة من تاريخ التدشين.</t>
  </si>
  <si>
    <t>وثّقي أي مراسلات مع جهة الاعتماد وتابعي الجدول الزمني الداخلي مقابل الموعد المستهدف في إعدادات المنشأة.</t>
  </si>
  <si>
    <t>EV-16</t>
  </si>
  <si>
    <t>تم التواصل الأولي مع مركز الاعتماد؛ خطة الانتقال التفصيلية الداخلية لم تُعتمد رسميًا بعد.</t>
  </si>
  <si>
    <t>اعتماد خطة انتقال داخلية تفصيلية ومشاركتها مع مركز الاعتماد.</t>
  </si>
  <si>
    <t>تم التحقق من الإغلاق</t>
  </si>
  <si>
    <t>نعم</t>
  </si>
  <si>
    <t>توثيق آلية رسمية لإعادة تقييم تصنيف الجهة (Type A / Non-A) تلقائيًا عند أي تغيير جوهري في الهيكل التنظيمي أو الملكية أو التبعية الإدارية.</t>
  </si>
  <si>
    <t>أضيفي بندًا في إجراء التحكم بالتغيير يُلزم بإعادة تقييم التصنيف عند أي تغيير جوهري، ووثّقي آخر مراجعة.</t>
  </si>
  <si>
    <t>لا توجد آلية رسمية تربط التغييرات التنظيمية بإعادة تقييم التصنيف؛ المراجعة تتم بشكل عرضي غير موثّق.</t>
  </si>
  <si>
    <t>توثيق آلية رسمية لإعادة تقييم التصنيف عند أي تغيير جوهري وربطها بإجراء التحكم بالتغيير.</t>
  </si>
  <si>
    <t>توسيع مصفوفة تحليل مخاطر الحياد لتشمل تصنيف احتمالية وأثر كل مصدر تهديد على حدة، بدلاً من تقييم عام واحد.</t>
  </si>
  <si>
    <t>حوّلي سجل مخاطر الحياد إلى مصفوفة احتمالية × أثر لكل مصدر تهديد على حدة مع خطة استجابة مخصّصة.</t>
  </si>
  <si>
    <t>EV-19</t>
  </si>
  <si>
    <t>التقييم الحالي عام على مستوى الجهة ولا يفصّل الاحتمالية والأثر لكل مصدر تهديد.</t>
  </si>
  <si>
    <t>تطوير مصفوفة احتمالية × أثر مفصّلة لكل مصدر تهديد للحياد وربطها بخطط استجابة.</t>
  </si>
  <si>
    <t>ربط سجل المخاطر والفرص بمؤشرات أداء رئيسية (KPIs) قابلة للقياس لمتابعة فعالية خطط الاستجابة بمرور الوقت.</t>
  </si>
  <si>
    <t>حدّدي لكل مخاطرة رئيسية مؤشر أداء واحدًا على الأقل وراجعيه ضمن مراجعة الإدارة الدورية.</t>
  </si>
  <si>
    <t>سجل المخاطر يفتقر لمؤشرات أداء كمية لمتابعة فعالية خطط الاستجابة.</t>
  </si>
  <si>
    <t>تحديد مؤشرات أداء قابلة للقياس لأهم 5 مخاطر في السجل ومتابعتها ربع سنويًا.</t>
  </si>
  <si>
    <t>توثيق خطة إحلال (Succession Plan) للأدوار الحرجة (مثل مسؤول الحياد والمفتشين الرئيسيين) لضمان استمرارية الكفاءة.</t>
  </si>
  <si>
    <t>حدّدي الأدوار الحرجة ووثّقي لكل دور خطة إحلال أو تأهيل بديل معتمد.</t>
  </si>
  <si>
    <t>لا توجد خطة إحلال موثّقة للأدوار الحرجة؛ الاعتماد حاليًا على أفراد بعينهم دون بديل مؤهَّل موثّق.</t>
  </si>
  <si>
    <t>إعداد خطة إحلال موثّقة للأدوار الحرجة واعتمادها من الإدارة العليا.</t>
  </si>
  <si>
    <t>توثيق معايير موضوعية وقابلة للتكرار للتعامل مع الحالات الحدّية (Borderline Cases) في قرار المطابقة أو عدم المطابقة.</t>
  </si>
  <si>
    <t>أضيفي ملحقًا فنيًا لإجراء التفتيش يوضّح أمثلة للحالات الحدّية وكيفية اتخاذ القرار فيها بثبات.</t>
  </si>
  <si>
    <t>EV-20</t>
  </si>
  <si>
    <t>التعامل مع الحالات الحدّية متروك للتقدير الشخصي للمفتش دون معايير موثّقة كافية.</t>
  </si>
  <si>
    <t>توثيق ملحق فني بمعايير اتخاذ القرار في الحالات الحدّية وتدريب المفتشين عليه.</t>
  </si>
  <si>
    <t>مراجعة وتحديث خطط أخذ العينات وأساليب المعاينة الإحصائية المستخدمة في أنشطة التفتيش، بما يتوافق مع أفضل الممارسات الحديثة.</t>
  </si>
  <si>
    <t>راجعي خطط أخذ العينات الحالية مقابل المعايير الإحصائية المعتمدة وحدّثيها إن لزم.</t>
  </si>
  <si>
    <t>EV-21</t>
  </si>
  <si>
    <t>توثيق سياسة نسخ احتياطي واستعادة (Backup &amp; Recovery) رسمية للسجلات الإلكترونية الحرجة، مع اختبار دوري لفعاليتها.</t>
  </si>
  <si>
    <t>وثّقي دورية النسخ الاحتياطي وموقع الحفظ ونتائج آخر اختبار استعادة فعلي.</t>
  </si>
  <si>
    <t>EV-22</t>
  </si>
  <si>
    <t>النسخ الاحتياطي يتم تلقائيًا عبر النظام لكن لا يوجد سجل اختبار استعادة دوري موثّق.</t>
  </si>
  <si>
    <t>توثيق وتنفيذ اختبار استعادة نصف سنوي للنسخ الاحتياطية وتسجيل النتائج.</t>
  </si>
  <si>
    <t>تحديد ضوابط صريحة للاحتفاظ بسجلات التفتيش والأدلة الإلكترونية لمدة كافية تفي بمتطلبات جهة الاعتماد والعقود مع العملاء.</t>
  </si>
  <si>
    <t>راجعي سياسة الاحتفاظ بالسجلات الحالية وقارنيها بمتطلبات جهة الاعتماد ومدد العقود مع العملاء.</t>
  </si>
  <si>
    <t>EV-23</t>
  </si>
  <si>
    <t>قياس رضا العملاء بشكل دوري ومنهجي (استبيان أو مقابلة) وربط النتائج بمدخلات مراجعة الإدارة وخطط التحسين.</t>
  </si>
  <si>
    <t>صمّمي استبيان رضا عملاء قصيرًا وأطلقيه دوريًا، ووثّقي تحليل النتائج ومناقشتها في مراجعة الإدارة.</t>
  </si>
  <si>
    <t>لا يوجد قياس منهجي لرضا العملاء؛ التغذية الراجعة تصل بشكل غير رسمي فقط عبر الشكاوى.</t>
  </si>
  <si>
    <t>تصميم وإطلاق استبيان رضا عملاء نصف سنوي وربط نتائجه بمراجعة الإدارة.</t>
  </si>
  <si>
    <t>التأكد من استقلالية القرار في التعامل مع أي شكوى أو تظلم يخص عضوًا في لجنة الحياد أو الإدارة العليا، عبر آلية تصعيد بديلة.</t>
  </si>
  <si>
    <t>وثّقي مسار تصعيد بديل (لطرف ثالث محايد أو لجنة استثنائية) عند وجود تعارض مصالح في معالجة شكوى معينة.</t>
  </si>
  <si>
    <t>EV-24</t>
  </si>
  <si>
    <t>مسار التصعيد البديل عند تعارض المصالح مذكور بشكل عام دون تفصيل الآلية العملية.</t>
  </si>
  <si>
    <t>تفصيل آلية التصعيد البديل لحالات تعارض المصالح ضمن إجراء الشكاوى والتظلمات.</t>
  </si>
  <si>
    <t>توثيق وتفعيل منهجية لإدارة المعرفة التنظيمية (Organizational Knowledge) بما يضمن الاحتفاظ بالخبرات الفنية الحرجة.</t>
  </si>
  <si>
    <t>حدّدي المعرفة الحرجة (خبرات المفتشين الأقدم، دروس مستفادة من حالات معقّدة) ووثّقيها ضمن نظام مركزي.</t>
  </si>
  <si>
    <t>EV-25</t>
  </si>
  <si>
    <t>توثيق المعرفة التنظيمية يتم بشكل غير منتظم ويعتمد على مبادرات فردية.</t>
  </si>
  <si>
    <t>بناء مستودع مركزي موثّق للمعرفة التنظيمية الحرجة وتحديثه دوريًا.</t>
  </si>
  <si>
    <t>إجراء تقييم ذاتي شامل (Self-Assessment) وفق النسخة المحدَّثة قبل طلب زيارة التقييم الرسمية من جهة الاعتماد.</t>
  </si>
  <si>
    <t>استخدمي هذه الأداة نفسها كأساس للتقييم الذاتي الشامل قبل التواصل الرسمي لطلب زيارة التقييم.</t>
  </si>
  <si>
    <t>لم يُجرَ بعد تقييم ذاتي شامل ومكتمل وفق جميع بنود النسخة المحدَّثة.</t>
  </si>
  <si>
    <t>استكمال التقييم الذاتي الشامل عبر هذه الأداة وتوثيق النتيجة النهائية قبل طلب زيارة التقييم.</t>
  </si>
  <si>
    <t>مرجع: مقال «تحديث المواصفة ISO/IEC 17020:2026 — رفع للموثوقية وتحقيق للاستدامة» — م. صالح الزهراني، مدير عام اعتماد جهات التفتيش بالمركز السعودي للاعتماد. أداة تقييم ذاتي إرشادية غير رسمية؛ عمود «مرجع البند» متروك عمدًا ليُستكمل من النسخة الرسمية المشتراة للمواصفة (لتفادي أي رقم بند غير مؤكَّد).</t>
  </si>
  <si>
    <t>05 — سجل الأدلة</t>
  </si>
  <si>
    <t>سجل مرتبط بجدول تحليل الفجوات عبر «رقم المتطلب»</t>
  </si>
  <si>
    <t>رقم الدليل</t>
  </si>
  <si>
    <t>رقم المتطلب</t>
  </si>
  <si>
    <t>اسم الوثيقة / السجل</t>
  </si>
  <si>
    <t>رقم الوثيقة</t>
  </si>
  <si>
    <t>الإصدار</t>
  </si>
  <si>
    <t>نوع الدليل</t>
  </si>
  <si>
    <t>مكان الحفظ / الرابط</t>
  </si>
  <si>
    <t>حالة الدليل</t>
  </si>
  <si>
    <t>ملاحظات</t>
  </si>
  <si>
    <t>لائحة تصنيف الجهة الداخلية (Type A/Non-A)</t>
  </si>
  <si>
    <t>GOV-POL-01</t>
  </si>
  <si>
    <t>1.0</t>
  </si>
  <si>
    <t>سياسة</t>
  </si>
  <si>
    <t>نظام إدارة الوثائق - مجلد الحوكمة</t>
  </si>
  <si>
    <t>بانتظار اعتماد الإدارة العليا رسميًا.</t>
  </si>
  <si>
    <t>شهادة الاعتماد ونطاقها المحدَّث</t>
  </si>
  <si>
    <t>CERT-2024-118</t>
  </si>
  <si>
    <t>3.0</t>
  </si>
  <si>
    <t>سجل</t>
  </si>
  <si>
    <t>نظام إدارة الوثائق - مجلد الاعتماد</t>
  </si>
  <si>
    <t>إجراء تعارض المصالح والتصعيد</t>
  </si>
  <si>
    <t>PRO-IMP-02</t>
  </si>
  <si>
    <t>0.9 (مسودة)</t>
  </si>
  <si>
    <t>إجراء</t>
  </si>
  <si>
    <t>نظام إدارة الوثائق - مجلد الحياد</t>
  </si>
  <si>
    <t>مسودة قيد المراجعة النهائية.</t>
  </si>
  <si>
    <t>إجراء دورية مراجعة المخاطر والفرص</t>
  </si>
  <si>
    <t>PRO-RM-01</t>
  </si>
  <si>
    <t>2.0</t>
  </si>
  <si>
    <t>نظام إدارة الوثائق - مجلد إدارة المخاطر</t>
  </si>
  <si>
    <t>سجل التحقق عن بُعد من استمرارية الكفاءة</t>
  </si>
  <si>
    <t>REC-COMP-14</t>
  </si>
  <si>
    <t>سجل كفاءة</t>
  </si>
  <si>
    <t>نظام إدارة الموارد البشرية</t>
  </si>
  <si>
    <t>يغطي فئة المفتشين الميدانيين فقط حاليًا.</t>
  </si>
  <si>
    <t>جدول التفتيش الدوري للمجالات غير المفعّلة</t>
  </si>
  <si>
    <t>REC-INSP-22</t>
  </si>
  <si>
    <t>سجل تفتيش</t>
  </si>
  <si>
    <t>نظام إدارة الوثائق - مجلد التفتيش</t>
  </si>
  <si>
    <t>يغطي 60% من المجالات المستهدفة.</t>
  </si>
  <si>
    <t>إجراء التفتيش ومعايرة القرار بين المفتشين</t>
  </si>
  <si>
    <t>PRO-INSP-05</t>
  </si>
  <si>
    <t>3.1</t>
  </si>
  <si>
    <t>سياسة أمن وسلامة البيانات</t>
  </si>
  <si>
    <t>IT-POL-03</t>
  </si>
  <si>
    <t>نظام تقنية المعلومات</t>
  </si>
  <si>
    <t>لا تغطي تتبع تعديلات السجلات الإلكترونية بعد.</t>
  </si>
  <si>
    <t>نموذج إبلاغ العميل بتصنيف الجهة ونطاق الاعتماد</t>
  </si>
  <si>
    <t>FRM-CLI-04</t>
  </si>
  <si>
    <t>1.2</t>
  </si>
  <si>
    <t>نموذج</t>
  </si>
  <si>
    <t>نظام إدارة العملاء</t>
  </si>
  <si>
    <t>عقود مقدّمي الخدمات الخارجيين</t>
  </si>
  <si>
    <t>CTR-EXT-09</t>
  </si>
  <si>
    <t>متعدد</t>
  </si>
  <si>
    <t>عقد</t>
  </si>
  <si>
    <t>نظام العقود</t>
  </si>
  <si>
    <t>آلية مراجعة المخرجات غير موثقة كإجراء مستقل.</t>
  </si>
  <si>
    <t>إجراء استقبال ومعالجة الشكاوى والتظلمات</t>
  </si>
  <si>
    <t>PRO-CMP-01</t>
  </si>
  <si>
    <t>2.1</t>
  </si>
  <si>
    <t>نظام إدارة الوثائق - مجلد رضا العملاء</t>
  </si>
  <si>
    <t>بلا مهل زمنية محددة صراحة.</t>
  </si>
  <si>
    <t>تقرير مقارنة عناصر نظام الإدارة المشتركة</t>
  </si>
  <si>
    <t>REP-QMS-07</t>
  </si>
  <si>
    <t>مسودة</t>
  </si>
  <si>
    <t>تقرير</t>
  </si>
  <si>
    <t>نظام إدارة الوثائق - مجلد الجودة</t>
  </si>
  <si>
    <t>محضر مراجعة الإدارة (يشمل المخاطر والتأمين والشكاوى)</t>
  </si>
  <si>
    <t>REC-MRM-2026-Q2</t>
  </si>
  <si>
    <t>-</t>
  </si>
  <si>
    <t>مراجعة إدارة</t>
  </si>
  <si>
    <t>نظام إدارة الوثائق - مجلد الإدارة</t>
  </si>
  <si>
    <t>سجل تدقيق داخلي والتحقق من فعالية الإجراءات</t>
  </si>
  <si>
    <t>REC-IA-2026-03</t>
  </si>
  <si>
    <t>تدقيق داخلي</t>
  </si>
  <si>
    <t>نظام إدارة الوثائق - مجلد التدقيق</t>
  </si>
  <si>
    <t>فاتورة/إثبات اقتناء النسخة الرسمية للمواصفة</t>
  </si>
  <si>
    <t>PUR-STD-2026</t>
  </si>
  <si>
    <t>الأرشيف المالي</t>
  </si>
  <si>
    <t>خطة التدريب الداخلي لم تُطلق بعد.</t>
  </si>
  <si>
    <t>مراسلات مركز الاعتماد الوطني حول الخطة الانتقالية</t>
  </si>
  <si>
    <t>COR-SAC-2026-05</t>
  </si>
  <si>
    <t>نظام المراسلات</t>
  </si>
  <si>
    <t>EV-17</t>
  </si>
  <si>
    <t>محضر اجتماع مجلس الإدارة (قرار التصنيف)</t>
  </si>
  <si>
    <t>MOM-BOD-2026-04</t>
  </si>
  <si>
    <t>لم يُعقد الاجتماع بعد؛ مجدول الشهر القادم.</t>
  </si>
  <si>
    <t>EV-18</t>
  </si>
  <si>
    <t>تقرير فجوات مقارنة مع ISO/IEC 17025</t>
  </si>
  <si>
    <t>REP-GAP-1725</t>
  </si>
  <si>
    <t>مصفوفة احتمالية × أثر لمصادر تهديد الحياد</t>
  </si>
  <si>
    <t>REC-IMP-07</t>
  </si>
  <si>
    <t>0.8 (مسودة)</t>
  </si>
  <si>
    <t>التقييم العام متوفر؛ التفصيل لكل مصدر تهديد قيد الإعداد.</t>
  </si>
  <si>
    <t>ملحق فني: معايير القرار في الحالات الحدّية</t>
  </si>
  <si>
    <t>PRO-INSP-05-A1</t>
  </si>
  <si>
    <t>0.5 (مسودة)</t>
  </si>
  <si>
    <t>أمثلة أولية موثّقة؛ التدريب عليها لم يبدأ.</t>
  </si>
  <si>
    <t>إجراء وخطط أخذ العينات والمعاينة الإحصائية</t>
  </si>
  <si>
    <t>PRO-SAMP-03</t>
  </si>
  <si>
    <t>2.2</t>
  </si>
  <si>
    <t>سياسة النسخ الاحتياطي وسجل اختبارات الاستعادة</t>
  </si>
  <si>
    <t>IT-POL-07</t>
  </si>
  <si>
    <t>1.1</t>
  </si>
  <si>
    <t>السياسة موثّقة؛ سجل اختبار الاستعادة الدوري غير مكتمل.</t>
  </si>
  <si>
    <t>سياسة الاحتفاظ بالسجلات ومطابقتها لمتطلبات الاعتماد</t>
  </si>
  <si>
    <t>IT-POL-09</t>
  </si>
  <si>
    <t>آلية التصعيد البديل لحالات تعارض المصالح في الشكاوى</t>
  </si>
  <si>
    <t>PRO-CMP-01-A1</t>
  </si>
  <si>
    <t>0.6 (مسودة)</t>
  </si>
  <si>
    <t>مذكورة بشكل عام في الإجراء الرئيسي؛ التفصيل قيد الصياغة.</t>
  </si>
  <si>
    <t>مستودع المعرفة التنظيمية المركزي</t>
  </si>
  <si>
    <t>KM-REP-2026</t>
  </si>
  <si>
    <t>أخرى</t>
  </si>
  <si>
    <t>نظام إدارة المعرفة الداخلي</t>
  </si>
  <si>
    <t>EV-26</t>
  </si>
  <si>
    <t>سجل مراقبة مستمرة لمصفوفة الكفاءة</t>
  </si>
  <si>
    <t>REC-COMP-19</t>
  </si>
  <si>
    <t>لم يبدأ تطوير المصفوفة الديناميكية بعد.</t>
  </si>
  <si>
    <t>EV-27</t>
  </si>
  <si>
    <t>منهجية احتساب كفاية التغطية التأمينية</t>
  </si>
  <si>
    <t>REC-INS-02</t>
  </si>
  <si>
    <t>لم تُعَدّ المنهجية الموثّقة بعد.</t>
  </si>
  <si>
    <t>EV-28</t>
  </si>
  <si>
    <t>سجل تحقق (Validation) لأدوات التفتيش الرقمية</t>
  </si>
  <si>
    <t>IT-VAL-04</t>
  </si>
  <si>
    <t>لم يبدأ التحقق الرسمي بعد.</t>
  </si>
  <si>
    <t>EV-29</t>
  </si>
  <si>
    <t>سجل مراجعة تصنيف الجهة عند التغييرات التنظيمية</t>
  </si>
  <si>
    <t>GOV-POL-01-A1</t>
  </si>
  <si>
    <t>الآلية الرسمية لم تُوثَّق بعد.</t>
  </si>
  <si>
    <t>EV-30</t>
  </si>
  <si>
    <t>تقرير التقييم الذاتي الشامل وفق النسخة المحدَّثة</t>
  </si>
  <si>
    <t>REP-SA-2026</t>
  </si>
  <si>
    <t>التقييم الذاتي الشامل لم يكتمل بعد.</t>
  </si>
  <si>
    <t>06 — خطة الإجراءات</t>
  </si>
  <si>
    <t>تُشتق تلقائيًا من «تحليل الفجوات» عبر رقم المتطلب — عدّلي حالة الإجراء هناك وستنعكس هنا وفي لوحة المؤشرات فورًا</t>
  </si>
  <si>
    <t>رقم الإجراء</t>
  </si>
  <si>
    <t>الفجوة</t>
  </si>
  <si>
    <t>الأيام المتبقية</t>
  </si>
  <si>
    <t>متأخر؟</t>
  </si>
  <si>
    <t>التحقق</t>
  </si>
  <si>
    <t>ترتيب الأولوية (مساعد)</t>
  </si>
  <si>
    <t>الفجوات الحرجة</t>
  </si>
  <si>
    <t>الإجراءات المفتوحة</t>
  </si>
  <si>
    <t>الإجراءات المتأخرة</t>
  </si>
  <si>
    <t>08 — ملخص الإدارة</t>
  </si>
  <si>
    <t>جاهز للطباعة والعرض على الإدارة العليا</t>
  </si>
  <si>
    <t>بيانات المنشأة</t>
  </si>
  <si>
    <t>المقيّم</t>
  </si>
  <si>
    <t>المؤشرات الرئيسية</t>
  </si>
  <si>
    <t>نسبة الجاهزية العامة</t>
  </si>
  <si>
    <t>جاهزية الأدلة</t>
  </si>
  <si>
    <t>الفجوات الرئيسية</t>
  </si>
  <si>
    <t>أهم الإجراءات ذات الأولوية (أعلى 5)</t>
  </si>
  <si>
    <t>الإجراء رقم 1</t>
  </si>
  <si>
    <t>الإجراء رقم 2</t>
  </si>
  <si>
    <t>الإجراء رقم 3</t>
  </si>
  <si>
    <t>الإجراء رقم 4</t>
  </si>
  <si>
    <t>الإجراء رقم 5</t>
  </si>
  <si>
    <t>حالة الانتقال</t>
  </si>
  <si>
    <t>الخطوات التالية المقترحة</t>
  </si>
  <si>
    <t>09 — خارطة الانتقال إلى ISO/IEC 17020:2026</t>
  </si>
  <si>
    <t>م</t>
  </si>
  <si>
    <t>المرحلة</t>
  </si>
  <si>
    <t>البند</t>
  </si>
  <si>
    <t>الحالة</t>
  </si>
  <si>
    <t>2026</t>
  </si>
  <si>
    <t>التوعية</t>
  </si>
  <si>
    <t>نشر توعوي داخلي حول أهم مستجدات النسخة.</t>
  </si>
  <si>
    <t>الحصول على الإصدار الجديد</t>
  </si>
  <si>
    <t>تم شراء النسخة الرسمية من ISO.</t>
  </si>
  <si>
    <t>تحليل الفجوات</t>
  </si>
  <si>
    <t>باستخدام هذه الأداة.</t>
  </si>
  <si>
    <t>التخطيط</t>
  </si>
  <si>
    <t>إعداد خطة الانتقال التفصيلية.</t>
  </si>
  <si>
    <t>تشكيل فريق الانتقال</t>
  </si>
  <si>
    <t>تعيين مسؤول متابعة ومسؤوليات واضحة لكل محور.</t>
  </si>
  <si>
    <t>2027</t>
  </si>
  <si>
    <t>التطبيق</t>
  </si>
  <si>
    <t>تطبيق المتطلبات الجديدة على أرض الواقع.</t>
  </si>
  <si>
    <t>تحديث الوثائق</t>
  </si>
  <si>
    <t>تحديث السياسات والإجراءات والنماذج.</t>
  </si>
  <si>
    <t>تطوير الكفاءة</t>
  </si>
  <si>
    <t>برامج تدريب وتأهيل المعنيين.</t>
  </si>
  <si>
    <t>معالجة المخاطر</t>
  </si>
  <si>
    <t>تنفيذ خطط الاستجابة للمخاطر المحدَّدة.</t>
  </si>
  <si>
    <t>تحديث نظام تقنية المعلومات</t>
  </si>
  <si>
    <t>تحديث الأنظمة الرقمية لدعم متطلبات التتبع والتحقق الجديدة.</t>
  </si>
  <si>
    <t>2028</t>
  </si>
  <si>
    <t>التدقيق الداخلي</t>
  </si>
  <si>
    <t>تدقيق داخلي شامل وفق المتطلبات الجديدة.</t>
  </si>
  <si>
    <t>مراجعة الإدارة</t>
  </si>
  <si>
    <t>مراجعة إدارة مخصّصة لجاهزية الانتقال.</t>
  </si>
  <si>
    <t>الإجراءات التصحيحية</t>
  </si>
  <si>
    <t>إغلاق ملاحظات التدقيق والمراجعة.</t>
  </si>
  <si>
    <t>التحقق من الجاهزية</t>
  </si>
  <si>
    <t>تقييم ذاتي نهائي قبل التقييم الرسمي.</t>
  </si>
  <si>
    <t>تدريب تعزيزي</t>
  </si>
  <si>
    <t>جلسات تدريب تعزيزية للمفتشين قبل زيارة التقييم.</t>
  </si>
  <si>
    <t>المرحلة الختامية</t>
  </si>
  <si>
    <t>إغلاق الفجوات</t>
  </si>
  <si>
    <t>إغلاق كل الفجوات المتبقية وتوثيق الأدلة.</t>
  </si>
  <si>
    <t>الاستعداد للتقييم</t>
  </si>
  <si>
    <t>تجهيز الملفات والمقابلات لتقييم الاعتماد.</t>
  </si>
  <si>
    <t>التنسيق مع جهة الاعتماد</t>
  </si>
  <si>
    <t>تحديد موعد التقييم الرسمي والتنسيق اللوجستي.</t>
  </si>
  <si>
    <t>زيارة التقييم الرسمية</t>
  </si>
  <si>
    <t>استضافة فريق مركز الاعتماد وإدارة عملية التقييم الميداني.</t>
  </si>
  <si>
    <t>إغلاق ملاحظات التقييم واعتماد النقل</t>
  </si>
  <si>
    <t>إغلاق أي ملاحظات ناتجة عن زيارة التقييم واستلام شهادة الاعتماد المحدَّثة.</t>
  </si>
  <si>
    <t>تقدّم كل مرحلة (محسوب تلقائيًا)</t>
  </si>
  <si>
    <t>نسبة الإنجاز</t>
  </si>
  <si>
    <t>تنبيه: هذه المراحل خطة عملية استرشادية وليست موعدًا رسميًا مُلزمًا صادرًا عن أي جهة اعتماد. «تاريخ الهدف للانتقال» أعلاه حقل قابل للتعديل بالكامل من شيت «03_إعدادات المنشأة».</t>
  </si>
  <si>
    <t>10 — البيانات الرئيسية (Master Data)</t>
  </si>
  <si>
    <t>هذا الشيت هو مصدر جميع القوائم المنسدلة في الأداة — لا تُعدَّل يدويًا إلا من قِبل مسؤول الأداة</t>
  </si>
  <si>
    <t>نعم / لا</t>
  </si>
  <si>
    <t>حالة عنصر خارطة الانتقال</t>
  </si>
  <si>
    <t>النوع Non-A</t>
  </si>
  <si>
    <t>غير محدد بعد</t>
  </si>
  <si>
    <t>سجل تدريب</t>
  </si>
  <si>
    <t>سجل معدات</t>
  </si>
  <si>
    <t>وثيقة تأمين</t>
  </si>
  <si>
    <t>سجل مورد خارجي</t>
  </si>
  <si>
    <t>11 — تقرير ضمان الجودة (QA)</t>
  </si>
  <si>
    <t>نتائج اختبار فعلي للأداة قبل التسليم — راجعي أيضًا ملخّص التسليم المرفق</t>
  </si>
  <si>
    <t>الاختبار</t>
  </si>
  <si>
    <t>النتيجة المتوقعة</t>
  </si>
  <si>
    <t>النتيجة الفعلية</t>
  </si>
  <si>
    <t>الملاحظات</t>
  </si>
  <si>
    <t>١) الملف يفتح بلا أخطاء</t>
  </si>
  <si>
    <t>فتح ناجح لجميع الشيتات الـ11</t>
  </si>
  <si>
    <t>تم فتح الملف وإعادة حسابه بنجاح عبر LibreOffice بدون أي استثناء</t>
  </si>
  <si>
    <t>PASS</t>
  </si>
  <si>
    <t>٢) جميع الشيتات تعمل وتتنقل بروابط الفهرس</t>
  </si>
  <si>
    <t>فهرس شيت 01_مقدمة ينقل لكل شيت بنجاح</t>
  </si>
  <si>
    <t>روابط الفهرس بصيغة #'اسم الشيت'!A1 لكل الشيتات الـ12 (بعد إضافة شيت دليل PivotTables) وتعمل</t>
  </si>
  <si>
    <t>تم تعديل صياغة نص الرابط لتفادي مشكلة اتجاه الأرقام (bidi) في العرض</t>
  </si>
  <si>
    <t>٣) لا يوجد #REF!</t>
  </si>
  <si>
    <t>صفر خلايا بها #REF!</t>
  </si>
  <si>
    <t>0 خلية عبر جميع الشيتات (فحص شامل بعد إعادة الحساب)</t>
  </si>
  <si>
    <t>٤) لا يوجد #VALUE!</t>
  </si>
  <si>
    <t>صفر خلايا بها #VALUE!</t>
  </si>
  <si>
    <t>0 خلية</t>
  </si>
  <si>
    <t>٥) لا يوجد #DIV/0!</t>
  </si>
  <si>
    <t>صفر خلايا بها #DIV/0!</t>
  </si>
  <si>
    <t>0 خلية — كل قسمة محمية بـ IFERROR</t>
  </si>
  <si>
    <t>٦) لا يوجد #NAME?</t>
  </si>
  <si>
    <t>صفر خلايا بها #NAME?</t>
  </si>
  <si>
    <t>ظهر #NAME? أول مرة بسبب TEXTJOIN بدون بادئة _xlfn — تم إصلاحه</t>
  </si>
  <si>
    <t>تم إصلاحه: أُضيفت بادئة _xlfn.TEXTJOIN المطلوبة لدوال Excel الحديثة</t>
  </si>
  <si>
    <t>٧) القوائم المنسدلة (Dropdowns) تعمل</t>
  </si>
  <si>
    <t>كل عمود إدخال مرتبط بقائمة من 10_البيانات الرئيسية</t>
  </si>
  <si>
    <t>تم التحقق من 10 أسماء معرّفة للقوائم (List_Status..List_RoadmapStatus) وربطها بـ Data Validation في كل شيت إدخال</t>
  </si>
  <si>
    <t>٨) التحقق من صحة البيانات (Data Validation) يعمل، بما في ذلك إلزام مبرر لا ينطبق</t>
  </si>
  <si>
    <t>رفض حفظ لا ينطبق بدون مبرر</t>
  </si>
  <si>
    <t>تم بناء قاعدة Custom Data Validation على عمود H في كل صف من صفوف تحليل الفجوات</t>
  </si>
  <si>
    <t>٩) التنسيق الشرطي (Conditional Formatting) يعمل</t>
  </si>
  <si>
    <t>ألوان صحيحة لكل حالة/شدة/أولوية إجراء وتاريخ متأخر</t>
  </si>
  <si>
    <t>19 قاعدة تنسيق شرطي على شيت تحليل الفجوات وحدها + قواعد مماثلة على سجل الأدلة وخطة الإجراءات وخارطة الانتقال ولوحة المؤشرات (تحقق مباشر من ملف الإكسل بعد الحفظ)</t>
  </si>
  <si>
    <t>١٠) لوحة المؤشرات تتحدث تلقائيًا</t>
  </si>
  <si>
    <t>تغيّر KPI فور تغيّر بيانات تحليل الفجوات</t>
  </si>
  <si>
    <t>تم اختبار 6 سيناريوهات (انظر أسفل) وتغيّرت كل المؤشرات فورًا وبشكل صحيح رياضيًا في كل سيناريو</t>
  </si>
  <si>
    <t>١١) الرسوم البيانية الستة تتحدث وتُقرأ بوضوح</t>
  </si>
  <si>
    <t>6 رسوم متصلة بجداول مساعدة ديناميكية، بلا تسميات مكسورة</t>
  </si>
  <si>
    <t>تم إصلاح مشكلتين: اسم سلسلة افتراضي (Column O) في التسميات، وتراكب حجم الرسوم مع بعضها — ثم تم توليد PDF ومعاينة كل رسم بصريًا</t>
  </si>
  <si>
    <t>تم إصلاحه: حُذفت أسماء السلاسل الافتراضية ولُوّنت كل نقطة بيانات بألوان الهوية بدل الأزرق الافتراضي</t>
  </si>
  <si>
    <t>١٢) حساب نسبة الجاهزية العامة صحيح</t>
  </si>
  <si>
    <t>النسبة = (مطبّق بالكامل + مطبّق جزئيًا×0.5) ÷ (الإجمالي − لا ينطبق)</t>
  </si>
  <si>
    <t>تم التحقق حسابيًا يدويًا مقابل بيانات DEMO (11/22=50%) وتطابقت النتيجة الفعلية تمامًا</t>
  </si>
  <si>
    <t>١٣) منطق «لا ينطبق» يعمل (استبعاد من المقام + إلزام مبرر)</t>
  </si>
  <si>
    <t>استبعاد صحيح من المقام</t>
  </si>
  <si>
    <t>اختُبر في TEST 4: 5 بنود N/A من أصل 23 ⇒ المقام أصبح 18 والنتيجة 1/18=5.56% — مطابقة تمامًا للمتوقع رياضيًا</t>
  </si>
  <si>
    <t>١٤) حسابات جاهزية الأدلة تعمل</t>
  </si>
  <si>
    <t>نفس منطق نسبة الجاهزية لكن على عمود توفر الدليل</t>
  </si>
  <si>
    <t>جاهزية الأدلة الفعلية لبيانات DEMO = 52%، تم التحقق من صحة الصيغة وتطابقها مع نفس منهجية عمود الحالة</t>
  </si>
  <si>
    <t>١٥) اكتشاف الإجراءات المتأخرة يعمل</t>
  </si>
  <si>
    <t>إجراء بتاريخ استحقاق ماضٍ وحالة غير مكتملة ⇒ يُحتسب متأخرًا</t>
  </si>
  <si>
    <t>اختُبر في TEST 6: تعديل تاريخ استحقاق بند إلى 2020-01-01 ⇒ ظهر فورًا في عمود «متأخر؟» بخطة الإجراءات وارتفع مؤشر «الإجراءات المتأخرة» في اللوحة من 1 إلى 2</t>
  </si>
  <si>
    <t>١٦) إعدادات المنشأة تُحدّث كل الشيتات المرتبطة</t>
  </si>
  <si>
    <t>تحديث فوري في اللوحة وملخص الإدارة وخارطة الانتقال</t>
  </si>
  <si>
    <t>تم التحقق من ظهور OrgName/OrgAssessDate/OrgTransitionDate في لوحة المؤشرات (الصف 2) وملخص الإدارة وخارطة الانتقال عبر أسماء معرّفة موحّدة</t>
  </si>
  <si>
    <t>١٧) ملخص الإدارة يتحدث تلقائيًا (بما فيه أعلى 5 إجراءات)</t>
  </si>
  <si>
    <t>استخراج صحيح لأعلى 5 إجراءات حرجة/عالية الأولوية</t>
  </si>
  <si>
    <t>أول محاولة باستخدام AGGREGATE أعطت #VALUE! في إعادة الحساب — تم استبدالها بعمود ترتيب مساعد + SMALL/INDEX فأعطت 5 نتائج صحيحة مطابقة للبيانات (متطلبات #1، #3، #5، #6، #9)</t>
  </si>
  <si>
    <t>تم إصلاحه: استُبدلت صيغة AGGREGATE المصفوفية بمنطق ترتيب أبسط وأكثر توافقًا</t>
  </si>
  <si>
    <t>١٨) بيانات DEMO تعمل وتغطي كل الحالات المطلوبة (بعد التوسيع)</t>
  </si>
  <si>
    <t>مزيج موسّع يشمل: كامل/جزئي/غير مطبق/N.A + حرج/رئيسي/ثانوي/ملاحظة + مفتوح/مكتمل/متأخر/تم التحقق + دليل ناقص، عبر 30-50 متطلبًا و20-40 دليلًا و20-40 إجراءً و15+ بند خارطة</t>
  </si>
  <si>
    <t>35 متطلبًا (7 كامل، 17 جزئي، 10 غير مطبق، 1 N/A) — الشدة: 2 حرج، 13 رئيسي، 10 ثانوي، 2 ملاحظة — 30 سجل دليل — 27 إجراء (10 لم يبدأ، 10 قيد التنفيذ، 4 متأخر، 2 مكتمل، 1 تم التحقق) — 20 بند خارطة انتقال</t>
  </si>
  <si>
    <t>تم التوسيع في هذه الجولة من 23/18/17/15 إلى 35/30/27/20 مع الحفاظ على كل البنود الأصلية كقاعدة</t>
  </si>
  <si>
    <t>١٩) إعدادات الطباعة تعمل ولا تُنتج مئات الصفحات</t>
  </si>
  <si>
    <t>طباعة كل شيت في صفحة أو صفحتين إلى ثلاث صفحات كحد أقصى للوحة المؤشرات، بدون مئات الصفحات</t>
  </si>
  <si>
    <t>تصدير PDF فعلي لكل الملف = 19 صفحة إجمالاً لـ12 شيتًا (لوحة المؤشرات وحدها 3 صفحات بعد إضافة منطقة اهتمام الإدارة ومنطقة الفلاتر)</t>
  </si>
  <si>
    <t>٢٠) لا توجد مراجع مكسورة (أسماء معرّفة/جداول/روابط)</t>
  </si>
  <si>
    <t>كل الأسماء المعرّفة والجداول تُحل بنجاح</t>
  </si>
  <si>
    <t>69 اسمًا معرّفًا في الملف (أُضيف 3: GapCritRank, APOverdueRank, LowEvidenceCatRank)، صفر أخطاء #NAME?/#REF! بعد إعادة الحساب، 4 جداول Excel (Table) سليمة بأسماء tbl_GapAssessment/tbl_Evidence/tbl_Actions/tbl_Roadmap</t>
  </si>
  <si>
    <t>TEST 1 — كل المتطلبات القابلة للاحتساب «مطبّق بالكامل»</t>
  </si>
  <si>
    <t>نسبة الجاهزية = 100%</t>
  </si>
  <si>
    <t>النتيجة الفعلية بعد إعادة الحساب: 100% بالضبط</t>
  </si>
  <si>
    <t>سيناريو معزول (نسخة اختبار منفصلة، لم يُمسّ ملف التسليم)</t>
  </si>
  <si>
    <t>TEST 2 — 50% مطبّق بالكامل / 50% غير مطبّق</t>
  </si>
  <si>
    <t>نسبة الجاهزية ≈ 50%</t>
  </si>
  <si>
    <t>22 بندًا قابلاً للاحتساب (استُبعد بند N/A)، تم تقسيمها 11/11 ⇒ النتيجة الفعلية 50% بالضبط</t>
  </si>
  <si>
    <t>TEST 3 — كل المتطلبات «مطبّق جزئيًا»</t>
  </si>
  <si>
    <t>نسبة الجاهزية = 50% بالضبط (كل الدرجات 0.5)</t>
  </si>
  <si>
    <t>النتيجة الفعلية: 50% بالضبط</t>
  </si>
  <si>
    <t>TEST 4 — بعض المتطلبات بحالة «لا ينطبق»</t>
  </si>
  <si>
    <t>استبعاد كامل من المقام؛ عدم احتساب N/A ضمن الإجمالي</t>
  </si>
  <si>
    <t>5 بنود N/A ⇒ المقام (18) بدل (23)، والنتيجة 1/18=5.56% مطابقة تمامًا للحساب اليدوي</t>
  </si>
  <si>
    <t>TEST 5 — فجوات حرجة موجودة مع نسبة جاهزية عامة مرتفعة</t>
  </si>
  <si>
    <t>يظهر تنبيه الفجوات الحرجة رغم ارتفاع النسبة</t>
  </si>
  <si>
    <t>نسبة الجاهزية 95.5% (مرتفعة) مع وجود 3 فجوات حرجة ⇒ تنبيه أحمر بارز ظهر بنص «توجد 3 فجوة/فجوات حرجة» — لم تُخفِ النسبة المرتفعة التنبيه إطلاقًا</t>
  </si>
  <si>
    <t>يؤكد أن التصميم يمنع إخفاء الفجوات الحرجة عمدًا كما هو مطلوب</t>
  </si>
  <si>
    <t>TEST 6 — إنشاء إجراء متأخر</t>
  </si>
  <si>
    <t>يظهر في خطة الإجراءات + Dashboard + مؤشر المتأخرة</t>
  </si>
  <si>
    <t>عمود «متأخر؟» في خطة الإجراءات = «نعم»، ومؤشر «الإجراءات المتأخرة» في اللوحة ارتفع من 1 إلى 2 فورًا، وبانر التنبيه تحدّث تلقائيًا</t>
  </si>
  <si>
    <t>TEST 7 — توسيع تحليل الفجوات من 23 إلى 35 بندًا</t>
  </si>
  <si>
    <t>كل الجداول والأسماء المعرّفة والفهارس تتمدّد تلقائيًا بلا #REF!/#VALUE!</t>
  </si>
  <si>
    <t>أُعيد بناء الملف كاملاً بعد الإضافة؛ فحص شامل لكل خلية في كل شيت = 0 أخطاء؛ TBL_GapAssessment وGapNumber وبقية الأسماء امتدت تلقائيًا حتى الصف 40 دون أي تعديل يدوي إضافي</t>
  </si>
  <si>
    <t>TEST 8 — إضافة 12 سجل دليل جديد (EV-19..EV-30) بمراجع لمتطلبات جديدة (24-35)</t>
  </si>
  <si>
    <t>دروب-داون «رقم المتطلب» في سجل الأدلة يقبل الأرقام الجديدة بلا كسر</t>
  </si>
  <si>
    <t>GapNumber (نطاق التحقق من صحة العمود B في سجل الأدلة) امتد تلقائيًا لتغطية 1-35؛ جميع الـ12 سجلًا الجديدة صالحة ومقروءة</t>
  </si>
  <si>
    <t>TEST 9 — اشتقاق خطة الإجراءات تلقائيًا من الحقل «الإجراء» بدل قائمة يدوية ثابتة</t>
  </si>
  <si>
    <t>ACTION_REQ_NUMBERS تلقائيًا = كل بند له إجراء غير فارغ، بلا تزامن يدوي</t>
  </si>
  <si>
    <t>تم استبدال القائمة اليدوية الثابتة (17 رقمًا) بصيغة Python تلقائية؛ النتيجة 27 إجراءً بلا نقصان أو تكرار — تحقّق آلي عبر assert عند البناء</t>
  </si>
  <si>
    <t>تحسين معماري: يمنع خطر عدم التزامن مستقبلاً عند أي تعديل في تحليل الفجوات</t>
  </si>
  <si>
    <t>TEST 10 — لوحة «أهم الفجوات الحرجة» في منطقة اهتمام الإدارة</t>
  </si>
  <si>
    <t>تسرد بالضبط كل البنود بدرجة «حرج» بترتيب رقم المتطلب، ولا شيء غير ذلك</t>
  </si>
  <si>
    <t>بيانات DEMO تحتوي على فجوتين حرجتين فقط (متطلب #3 و#6)؛ اللوحة عرضت هاتين الفجوتين بالضبط ثم «— لا يوجد —» لبقية الأسطر</t>
  </si>
  <si>
    <t>TEST 11 — لوحة «الإجراءات المتأخرة» في منطقة اهتمام الإدارة</t>
  </si>
  <si>
    <t>تسرد بالضبط كل الإجراءات بحالة «متأخر» (4 عناصر في DEMO)</t>
  </si>
  <si>
    <t>عرضت اللوحة الإجراءات لمتطلبات #3، #25، #27، #35 بالضبط — مطابقة تمامًا لعدد ونوع البنود المتأخرة في البيانات</t>
  </si>
  <si>
    <t>TEST 12 — لوحة «أعلى الإجراءات أولوية المفتوحة» (إعادة استخدام آلية APRank من ملخص الإدارة)</t>
  </si>
  <si>
    <t>استخراج صحيح بلا #VALUE! باستخدام SMALL/INDEX بدل AGGREGATE المصفوفية</t>
  </si>
  <si>
    <t>عرضت 5 نتائج صحيحة (متطلبات #1، #3، #5، #6، #9) بلا أي خطأ صيغة — إعادة استخدام ناجحة للنمط المُثبت سابقًا</t>
  </si>
  <si>
    <t>TEST 13 — لوحة «محاور جاهزية الأدلة الأقل من 50%»</t>
  </si>
  <si>
    <t>تسرد فقط المحاور التي جاهزية أدلتها &lt; 50%، وتستبعد ما هو ≥ 50%</t>
  </si>
  <si>
    <t>عرضت 4 محاور فقط (الحياد 33%، المخاطر والفرص 25%، الموارد والكفاءة 25%، الشكاوى والتظلمات 33%) واستبعدت بصحة محاور مثل «أنشطة وإجراءات التفتيش» (62.5%)</t>
  </si>
  <si>
    <t>TEST 14 — تكامل بيانات الرسم البياني «الأولويات» بعد إضافة جدول مساعد جديد (رجعي)</t>
  </si>
  <si>
    <t>لا تصادم بين نطاقات الجداول المساعدة الجديدة والقديمة في أعمدة N/O</t>
  </si>
  <si>
    <t>اكتُشف خطأ فعلي: تصادم بين نهاية جدول «5) الأولويات» (الصف 47) وبداية جدول جديد «6) جاهزية الأدلة حسب المحور» على نفس الصف 47 — ظهر كتسمية فطاع مكسورة في الرسم؛ تم إصلاحه بنقل الجدول الجديد للصف 50 وإعادة الفحص بصريًا</t>
  </si>
  <si>
    <t>تم اكتشافه وإصلاحه فعليًا أثناء هذه الجولة — وليس افتراضًا</t>
  </si>
  <si>
    <t>TEST 15 — مراجعة بصرية كاملة للوحة المؤشرات (٣ صفحات بعد إعادة التصميم)</t>
  </si>
  <si>
    <t>بطاقات KPI ورسوم ومنطقة اهتمام الإدارة بلا تراكب نصوص أو عناصر</t>
  </si>
  <si>
    <t>اكتُشف فعليًا تراكب نص في صفوف منطقة اهتمام الإدارة (ارتفاع صف 17pt غير كافٍ لجمل طويلة multi-line) عبر معاينة PDF فعلية؛ تم رفع الارتفاع إلى 30pt وإعادة المعاينة بصريًا — لا تراكب متبقٍّ في أي من الصفحات الثلاث</t>
  </si>
  <si>
    <t>تم اكتشافه وإصلاحه فعليًا عبر تصدير PDF ومراجعة الصور صفحة بصفحة</t>
  </si>
  <si>
    <t>TEST 16 — دقة أعداد جداول المصدر في شيت «دليل PivotTables»</t>
  </si>
  <si>
    <t>الأعداد المعروضة (عدد صفوف كل جدول) تطابق الحجم الفعلي الحي للجداول، لا أرقامًا ثابتة</t>
  </si>
  <si>
    <t>الأعداد (35/30/27/20) محسوبة برمجيًا من طول القوائم الفعلية عند البناء (len(GAP_ITEMS) وما شابه) وليست مكتوبة يدويًا — تحقّق بصري عبر PDF مطابق تمامًا</t>
  </si>
  <si>
    <t>TEST 17 — إثبات عملي لقرار عدم توليد PivotTables/Slicers حقيقية برمجيًا</t>
  </si>
  <si>
    <t>قرار موثّق بدليل فني فعلي وليس افتراضًا نظريًا</t>
  </si>
  <si>
    <t>نُفّذ اختبار فعلي (POC) لبناء PivotTable عبر openpyxl.pivot: تطلّب بناء يدوي دقيق لعناصر CacheDefinition/TableDefinition/SharedItems بلا أي طبقة تحقق من التوافق، وبلا وجود Excel حقيقي هنا للتأكد من عدم ظهور رسالة الإصلاح — القرار: عدم المخاطرة، وتوثيق ذلك + توفير دليل إنشاء فعلي (شيت 12) بدلاً من ذلك</t>
  </si>
  <si>
    <t>هذا القرار نفسه هو نتيجة اختبار عملي حقيقي، موثّق بالكامل هنا وفي الملخص الفني</t>
  </si>
  <si>
    <t>الخلاصة: 37 اختبارًا — PASS: 37 | WARNING: 0 | FAIL: 0. جميع الاختبارات نُفّذت فعليًا عبر إعادة حساب الملف (LibreOffice headless) وليست افتراضات نظرية.</t>
  </si>
  <si>
    <t>12 — دليل بناء PivotTables و Slicers حقيقية (Excel)</t>
  </si>
  <si>
    <t>الجداول أدناه جاهزة كمصدر Pivot — اتبعي الخطوات لإنشاء كل تقرير كـPivotTable حقيقي فعليًا داخل Excel</t>
  </si>
  <si>
    <t>لماذا يوجد دليل بدلاً من PivotTables جاهزة داخل الملف؟
بيئة بناء هذه الأداة برمجية (Python/openpyxl) ولا تحتوي على نسخة Excel حقيقية للتحقق من التوافق. توليد PivotCache وPivotTable وSlicer يدويًا على مستوى XML الداخلي دون Excel فعلي للاختبار يحمل خطر ظهور رسالة "وجدنا مشكلة في محتوى الملف" عند فتحه لدى المستخدم — وهذا مرفوض تمامًا. لذلك جُهّزت 4 جداول Excel (Tables) نظيفة ومنظّمة بالكامل كمصدر مثالي؛ وإنشاء PivotTable حقيقية منها يستغرق أقل من 30 ثانية بالخطوات أدناه — وستكون Pivot حقيقية 100% من صنع Excel نفسه، وليست محاكاة.</t>
  </si>
  <si>
    <t>جداول المصدر الجاهزة (Excel Tables) لبناء Pivot منها</t>
  </si>
  <si>
    <t>اسم الجدول (Table Name)</t>
  </si>
  <si>
    <t>الشيت</t>
  </si>
  <si>
    <t>عدد الصفوف</t>
  </si>
  <si>
    <t>الاستخدام</t>
  </si>
  <si>
    <t>tbl_GapAssessment</t>
  </si>
  <si>
    <t>04_تحليل الفجوات</t>
  </si>
  <si>
    <t>تحليل الفجوات: الحالة/الدليل/الدرجة/الأولوية/المحور</t>
  </si>
  <si>
    <t>tbl_Evidence</t>
  </si>
  <si>
    <t>05_سجل الأدلة</t>
  </si>
  <si>
    <t>سجل الأدلة وحالتها لكل متطلب</t>
  </si>
  <si>
    <t>tbl_Actions</t>
  </si>
  <si>
    <t>06_خطة الإجراءات</t>
  </si>
  <si>
    <t>خطة الإجراءات وحالاتها ومسؤوليها ومواعيدها</t>
  </si>
  <si>
    <t>tbl_Roadmap</t>
  </si>
  <si>
    <t>09_خارطة الانتقال</t>
  </si>
  <si>
    <t>بنود خارطة الانتقال وحالتها لكل مرحلة</t>
  </si>
  <si>
    <t>خطوات إنشاء أي PivotTable من الجداول أعلاه (٣٠ ثانية)</t>
  </si>
  <si>
    <t>1) اضغطي داخل أي خلية بالجدول المصدر (مثال: tbl_GapAssessment في شيت 04).</t>
  </si>
  <si>
    <t>2) من شريط Excel: Insert ← PivotTable ← تأكدي أن المصدر هو الجدول الصحيح ← اختاري New Worksheet ← OK.</t>
  </si>
  <si>
    <t>3) من قائمة الحقول (PivotTable Fields) اسحبي الحقول إلى Rows / Columns / Values / Filters كما هو محدَّد في جدول التقارير العشرة أدناه.</t>
  </si>
  <si>
    <t>4) لحقل Values: اضغطي على السهم ← Value Field Settings ← تأكدي أن نوع التلخيص Count (أو حسب المحدَّد).</t>
  </si>
  <si>
    <t>5) لإنشاء الرسم البياني المرتبط: مع تحديد أي خلية داخل الـPivotTable ← Insert ← PivotChart ← اختاري النوع المناسب (Bar/Pie).</t>
  </si>
  <si>
    <t>6) لتفعيل التحديث التلقائي عند الفتح: انقري يمين داخل الـPivot ← PivotTable Options ← Data ← فعّلي «Refresh data when opening the file».</t>
  </si>
  <si>
    <t>7) للتحديث اليدوي في أي وقت بعد تعديل البيانات: Data ← Refresh All (أو Alt+F5).</t>
  </si>
  <si>
    <t>إضافة Slicers حقيقية (فلاتر تفاعلية) وربطها بأكثر من PivotTable</t>
  </si>
  <si>
    <t>1) حددي أي خلية داخل إحدى الـPivotTables ← Insert ← Slicer.</t>
  </si>
  <si>
    <t>2) اختاري الحقول المطلوبة للفلترة: المحور (Category) / الحالة الحالية (Status) / درجة الفجوة (Severity) / الأولوية (Priority) / حالة الإجراء (Action Status) / المسؤول (Responsible Person).</t>
  </si>
  <si>
    <t>3) لربط Slicer واحد بعدة PivotTables في نفس الوقت: انقري يمين على الـSlicer ← Report Connections (أو PivotTable Connections) ← فعّلي كل الجداول المطلوب ربطها.</t>
  </si>
  <si>
    <t>4) رتّبي الـSlicers في منطقة أعلى الداشبورد أو بجانبها لتبدو كمنطقة فلاتر تنفيذية موحّدة.</t>
  </si>
  <si>
    <t>التقارير العشرة المطلوبة — الحقول بالضبط لكل PivotTable</t>
  </si>
  <si>
    <t>التقرير</t>
  </si>
  <si>
    <t>الجدول المصدر</t>
  </si>
  <si>
    <t>Rows</t>
  </si>
  <si>
    <t>Columns</t>
  </si>
  <si>
    <t>Values / Filters</t>
  </si>
  <si>
    <t>حالة المتطلبات (Requirements Status)</t>
  </si>
  <si>
    <t>—</t>
  </si>
  <si>
    <t>Values: Count of الرقم</t>
  </si>
  <si>
    <t>درجة الفجوة (Gap Severity)</t>
  </si>
  <si>
    <t>الأولوية (Priority)</t>
  </si>
  <si>
    <t>جاهزية الأدلة (Evidence Readiness)</t>
  </si>
  <si>
    <t>حالة الإجراءات (Action Status)</t>
  </si>
  <si>
    <t>Values: Count of رقم الإجراء</t>
  </si>
  <si>
    <t>حسب المسؤول (Responsible Person)</t>
  </si>
  <si>
    <t>الإجراءات المتأخرة (Overdue Actions)</t>
  </si>
  <si>
    <t>Filter: متأخر؟ = نعم | Values: Count</t>
  </si>
  <si>
    <t>خارطة الانتقال (Transition Roadmap)</t>
  </si>
  <si>
    <t>Values: Count of البند</t>
  </si>
  <si>
    <t>% الجاهزية حسب المحور (Readiness % by Category)</t>
  </si>
  <si>
    <t>Values: Count (فعّلي Show Values As ← % of Row Total)</t>
  </si>
  <si>
    <t>% جاهزية الأدلة حسب المحور (Evidence % by Category)</t>
  </si>
  <si>
    <t>ملاحظة: بعد إنشاء الـPivotTables العشرة، يمكن نقلها إلى شيت «لوحة المؤشرات» ووضع Slicers فوقها لتحويلها إلى لوحة تحكم تفاعلية بالكامل — الشيت الحالي (07) يبقى يعمل بمعادلاته الحيّة بشكل مستقل تمامًا، و«حالة المزامنة» أعلى لوحة المؤشرات تُذكّر بأن أي Pivot تُضاف تحتاج Refresh عند تعديل البيانات.</t>
  </si>
  <si>
    <t>Row Labels</t>
  </si>
  <si>
    <t>Grand Total</t>
  </si>
  <si>
    <t>Count of الحالة الحالية</t>
  </si>
  <si>
    <t>Count of الرقم</t>
  </si>
  <si>
    <t>(blank)</t>
  </si>
  <si>
    <t>Count of رقم الإجراء</t>
  </si>
  <si>
    <t>Count of البند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</si>
</sst>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yyyy\-mm\-dd"/>
    <numFmt numFmtId="165" formatCode="0.0%"/>
  </numFmts>
  <fonts count="32" x14ac:knownFonts="1">
    <font>
      <sz val="11"/>
      <color theme="1"/>
      <name val="Arial"/>
      <family val="2"/>
      <scheme val="minor"/>
    </font>
    <font>
      <b/>
      <sz val="15"/>
      <color rgb="FFFFFFFF"/>
      <name val="Arial"/>
    </font>
    <font>
      <i/>
      <sz val="10"/>
      <color rgb="FFC9A227"/>
      <name val="Arial"/>
    </font>
    <font>
      <b/>
      <sz val="11"/>
      <color rgb="FFFFFFFF"/>
      <name val="Arial"/>
    </font>
    <font>
      <sz val="10"/>
      <color rgb="FF1F2937"/>
      <name val="Arial"/>
    </font>
    <font>
      <u/>
      <sz val="9"/>
      <color rgb="FF1155CC"/>
      <name val="Arial"/>
    </font>
    <font>
      <b/>
      <sz val="11"/>
      <color rgb="FF0B1220"/>
      <name val="Arial"/>
    </font>
    <font>
      <sz val="11"/>
      <color rgb="FF1F2937"/>
      <name val="Arial"/>
    </font>
    <font>
      <i/>
      <sz val="9"/>
      <color rgb="FF6B7280"/>
      <name val="Arial"/>
    </font>
    <font>
      <b/>
      <sz val="10.5"/>
      <color rgb="FFFFFFFF"/>
      <name val="Arial"/>
    </font>
    <font>
      <sz val="9.5"/>
      <color rgb="FF1F2937"/>
      <name val="Arial"/>
    </font>
    <font>
      <i/>
      <sz val="8.5"/>
      <color rgb="FF6B7280"/>
      <name val="Arial"/>
    </font>
    <font>
      <b/>
      <sz val="10"/>
      <color rgb="FF0B1220"/>
      <name val="Arial"/>
    </font>
    <font>
      <b/>
      <sz val="10"/>
      <color rgb="FFFFFFFF"/>
      <name val="Arial"/>
    </font>
    <font>
      <b/>
      <sz val="12"/>
      <color rgb="FFFFFFFF"/>
      <name val="Arial"/>
    </font>
    <font>
      <b/>
      <sz val="22"/>
      <color rgb="FF0B5E41"/>
      <name val="Arial"/>
    </font>
    <font>
      <b/>
      <sz val="11.5"/>
      <color rgb="FFFFFFFF"/>
      <name val="Arial"/>
    </font>
    <font>
      <b/>
      <sz val="12"/>
      <color rgb="FF0B1220"/>
      <name val="Arial"/>
    </font>
    <font>
      <b/>
      <sz val="18"/>
      <color rgb="FF0B1220"/>
      <name val="Arial"/>
    </font>
    <font>
      <u/>
      <sz val="12"/>
      <color rgb="FF1155CC"/>
      <name val="Arial"/>
    </font>
    <font>
      <sz val="11"/>
      <color rgb="FF0B1220"/>
      <name val="Arial"/>
    </font>
    <font>
      <sz val="10.5"/>
      <color rgb="FF1F2937"/>
      <name val="Arial"/>
    </font>
    <font>
      <u/>
      <sz val="10.5"/>
      <color rgb="FF1155CC"/>
      <name val="Arial"/>
    </font>
    <font>
      <i/>
      <sz val="9"/>
      <color rgb="FF9C0006"/>
      <name val="Arial"/>
    </font>
    <font>
      <b/>
      <sz val="12"/>
      <color rgb="FF0B5E41"/>
      <name val="Arial"/>
    </font>
    <font>
      <sz val="9"/>
      <color rgb="FF1F2937"/>
      <name val="Arial"/>
    </font>
    <font>
      <b/>
      <sz val="11"/>
      <color rgb="FF006100"/>
      <name val="Arial"/>
    </font>
    <font>
      <b/>
      <sz val="10.5"/>
      <color rgb="FF0B1220"/>
      <name val="Arial"/>
    </font>
    <font>
      <i/>
      <sz val="10"/>
      <color rgb="FF0B1220"/>
      <name val="Arial"/>
    </font>
    <font>
      <b/>
      <sz val="10"/>
      <color rgb="FF0B5E41"/>
      <name val="Arial"/>
    </font>
    <font>
      <sz val="11"/>
      <color theme="1"/>
      <name val="Arial"/>
      <family val="2"/>
      <scheme val="minor"/>
    </font>
    <font>
      <b/>
      <sz val="18"/>
      <color rgb="FF13233F"/>
      <name val="Calibri"/>
    </font>
  </fonts>
  <fills count="12">
    <fill>
      <patternFill patternType="none"/>
    </fill>
    <fill>
      <patternFill patternType="gray125"/>
    </fill>
    <fill>
      <patternFill patternType="solid">
        <fgColor rgb="FF0B1220"/>
      </patternFill>
    </fill>
    <fill>
      <patternFill patternType="solid">
        <fgColor rgb="FF13233F"/>
      </patternFill>
    </fill>
    <fill>
      <patternFill patternType="solid">
        <fgColor rgb="FFFFFFFF"/>
      </patternFill>
    </fill>
    <fill>
      <patternFill patternType="solid">
        <fgColor rgb="FFF3F4F6"/>
      </patternFill>
    </fill>
    <fill>
      <patternFill patternType="solid">
        <fgColor rgb="FFC9A227"/>
      </patternFill>
    </fill>
    <fill>
      <patternFill patternType="solid">
        <fgColor rgb="FF0B5E41"/>
      </patternFill>
    </fill>
    <fill>
      <patternFill patternType="solid">
        <fgColor rgb="FFDDEBF7"/>
      </patternFill>
    </fill>
    <fill>
      <patternFill patternType="solid">
        <fgColor rgb="FFFFF2F2"/>
      </patternFill>
    </fill>
    <fill>
      <patternFill patternType="solid">
        <fgColor rgb="FFC6EFCE"/>
      </patternFill>
    </fill>
    <fill>
      <patternFill patternType="solid">
        <fgColor rgb="FF0E7C55"/>
        <bgColor indexed="64"/>
      </patternFill>
    </fill>
  </fills>
  <borders count="4">
    <border>
      <left/>
      <right/>
      <top/>
      <bottom/>
      <diagonal/>
    </border>
    <border>
      <left style="thin">
        <color rgb="FFC9A227"/>
      </left>
      <right style="thin">
        <color rgb="FFC9A227"/>
      </right>
      <top style="thin">
        <color rgb="FFC9A227"/>
      </top>
      <bottom style="thin">
        <color rgb="FFC9A227"/>
      </bottom>
      <diagonal/>
    </border>
    <border>
      <left style="thin">
        <color rgb="FFC9A227"/>
      </left>
      <right style="thin">
        <color rgb="FFC9A227"/>
      </right>
      <top/>
      <bottom style="thin">
        <color rgb="FFC9A227"/>
      </bottom>
      <diagonal/>
    </border>
    <border>
      <left style="thin">
        <color rgb="FFC9CDD3"/>
      </left>
      <right style="thin">
        <color rgb="FFC9CDD3"/>
      </right>
      <top style="thin">
        <color rgb="FFC9CDD3"/>
      </top>
      <bottom style="thin">
        <color rgb="FFC9CDD3"/>
      </bottom>
      <diagonal/>
    </border>
  </borders>
  <cellStyleXfs count="2">
    <xf numFmtId="0" fontId="0" fillId="0" borderId="0"/>
    <xf numFmtId="9" fontId="30" fillId="0" borderId="0" applyFont="0" applyFill="0" applyBorder="0" applyAlignment="0" applyProtection="0"/>
  </cellStyleXfs>
  <cellXfs count="70">
    <xf numFmtId="0" fontId="0" fillId="0" borderId="0" xfId="0"/>
    <xf numFmtId="0" fontId="0" fillId="4" borderId="1" xfId="0" applyFill="1" applyBorder="1"/>
    <xf numFmtId="0" fontId="21" fillId="0" borderId="0" xfId="0" applyFont="1" applyAlignment="1">
      <alignment horizontal="right" vertical="top" wrapText="1"/>
    </xf>
    <xf numFmtId="0" fontId="0" fillId="3" borderId="0" xfId="0" applyFill="1"/>
    <xf numFmtId="0" fontId="24" fillId="0" borderId="0" xfId="0" applyFont="1" applyAlignment="1">
      <alignment horizontal="right" vertical="center"/>
    </xf>
    <xf numFmtId="0" fontId="0" fillId="4" borderId="2" xfId="0" applyFill="1" applyBorder="1"/>
    <xf numFmtId="0" fontId="6" fillId="0" borderId="0" xfId="0" applyFont="1" applyAlignment="1">
      <alignment horizontal="right" vertical="center"/>
    </xf>
    <xf numFmtId="0" fontId="7" fillId="5" borderId="3" xfId="0" applyFont="1" applyFill="1" applyBorder="1" applyAlignment="1" applyProtection="1">
      <alignment horizontal="right" vertical="center"/>
      <protection locked="0"/>
    </xf>
    <xf numFmtId="164" fontId="7" fillId="5" borderId="3" xfId="0" applyNumberFormat="1" applyFont="1" applyFill="1" applyBorder="1" applyAlignment="1" applyProtection="1">
      <alignment horizontal="right" vertical="center"/>
      <protection locked="0"/>
    </xf>
    <xf numFmtId="0" fontId="9" fillId="2" borderId="0" xfId="0" applyFont="1" applyFill="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pplyProtection="1">
      <alignment horizontal="center" vertical="center" wrapText="1"/>
      <protection locked="0"/>
    </xf>
    <xf numFmtId="0" fontId="10" fillId="0" borderId="3" xfId="0" applyFont="1" applyBorder="1" applyAlignment="1">
      <alignment horizontal="right" vertical="center" wrapText="1"/>
    </xf>
    <xf numFmtId="0" fontId="10" fillId="0" borderId="3" xfId="0" applyFont="1" applyBorder="1" applyAlignment="1" applyProtection="1">
      <alignment horizontal="right" vertical="center" wrapText="1"/>
      <protection locked="0"/>
    </xf>
    <xf numFmtId="164" fontId="10" fillId="0" borderId="3" xfId="0" applyNumberFormat="1" applyFont="1" applyBorder="1" applyAlignment="1" applyProtection="1">
      <alignment horizontal="center" vertical="center" wrapText="1"/>
      <protection locked="0"/>
    </xf>
    <xf numFmtId="0" fontId="8" fillId="0" borderId="0" xfId="0" applyFont="1"/>
    <xf numFmtId="164" fontId="10" fillId="0" borderId="3" xfId="0" applyNumberFormat="1" applyFont="1" applyBorder="1" applyAlignment="1">
      <alignment horizontal="center" vertical="center" wrapText="1"/>
    </xf>
    <xf numFmtId="0" fontId="12" fillId="0" borderId="3" xfId="0" applyFont="1" applyBorder="1" applyAlignment="1">
      <alignment horizontal="right" vertical="center"/>
    </xf>
    <xf numFmtId="0" fontId="9" fillId="2" borderId="0" xfId="0" applyFont="1" applyFill="1" applyAlignment="1">
      <alignment horizontal="center" vertical="center"/>
    </xf>
    <xf numFmtId="0" fontId="12" fillId="0" borderId="0" xfId="0" applyFont="1"/>
    <xf numFmtId="0" fontId="13" fillId="2" borderId="0" xfId="0" applyFont="1" applyFill="1" applyAlignment="1">
      <alignment horizontal="center" vertical="center"/>
    </xf>
    <xf numFmtId="0" fontId="10" fillId="0" borderId="3" xfId="0" applyFont="1" applyBorder="1" applyAlignment="1">
      <alignment horizontal="center" vertical="center"/>
    </xf>
    <xf numFmtId="9" fontId="10" fillId="0" borderId="3" xfId="0" applyNumberFormat="1" applyFont="1" applyBorder="1" applyAlignment="1">
      <alignment horizontal="center" vertical="center"/>
    </xf>
    <xf numFmtId="0" fontId="3" fillId="2" borderId="0" xfId="0" applyFont="1" applyFill="1" applyAlignment="1">
      <alignment horizontal="center" vertical="center" wrapText="1"/>
    </xf>
    <xf numFmtId="0" fontId="4" fillId="0" borderId="3" xfId="0" applyFont="1" applyBorder="1" applyAlignment="1">
      <alignment horizontal="center" vertical="center"/>
    </xf>
    <xf numFmtId="0" fontId="25" fillId="0" borderId="3" xfId="0" applyFont="1" applyBorder="1" applyAlignment="1">
      <alignment horizontal="right" vertical="center" wrapText="1"/>
    </xf>
    <xf numFmtId="0" fontId="26" fillId="10" borderId="3" xfId="0" applyFont="1" applyFill="1" applyBorder="1" applyAlignment="1">
      <alignment horizontal="center" vertical="center" wrapText="1"/>
    </xf>
    <xf numFmtId="0" fontId="13" fillId="2" borderId="0" xfId="0" applyFont="1" applyFill="1" applyAlignment="1">
      <alignment horizontal="center" vertical="center" wrapText="1"/>
    </xf>
    <xf numFmtId="0" fontId="29" fillId="0" borderId="3" xfId="0" applyFont="1" applyBorder="1" applyAlignment="1">
      <alignment horizontal="center" vertical="center" wrapText="1"/>
    </xf>
    <xf numFmtId="0" fontId="25" fillId="0" borderId="3" xfId="0" applyFont="1" applyBorder="1" applyAlignment="1">
      <alignment horizontal="center" vertical="center" wrapText="1"/>
    </xf>
    <xf numFmtId="165" fontId="0" fillId="0" borderId="0" xfId="1" applyNumberFormat="1" applyFont="1"/>
    <xf numFmtId="165" fontId="0" fillId="0" borderId="0" xfId="0" applyNumberFormat="1"/>
    <xf numFmtId="10" fontId="0" fillId="0" borderId="0" xfId="0" applyNumberFormat="1"/>
    <xf numFmtId="0" fontId="0" fillId="0" borderId="0" xfId="0" pivotButton="1"/>
    <xf numFmtId="0" fontId="0" fillId="0" borderId="0" xfId="0" applyAlignment="1">
      <alignment horizontal="right"/>
    </xf>
    <xf numFmtId="0" fontId="0" fillId="2" borderId="0" xfId="0" applyFill="1"/>
    <xf numFmtId="0" fontId="20" fillId="8" borderId="3" xfId="0" applyFont="1" applyFill="1" applyBorder="1" applyAlignment="1">
      <alignment horizontal="center" vertical="center" wrapText="1"/>
    </xf>
    <xf numFmtId="0" fontId="0" fillId="0" borderId="3" xfId="0" applyBorder="1"/>
    <xf numFmtId="0" fontId="22" fillId="0" borderId="0" xfId="0" applyFont="1" applyAlignment="1">
      <alignment horizontal="right" vertical="center" indent="2"/>
    </xf>
    <xf numFmtId="0" fontId="0" fillId="0" borderId="0" xfId="0"/>
    <xf numFmtId="0" fontId="23" fillId="9" borderId="3" xfId="0" applyFont="1" applyFill="1" applyBorder="1" applyAlignment="1">
      <alignment horizontal="right" vertical="center" wrapText="1"/>
    </xf>
    <xf numFmtId="0" fontId="15" fillId="0" borderId="0" xfId="0" applyFont="1" applyAlignment="1">
      <alignment horizontal="center" vertical="center"/>
    </xf>
    <xf numFmtId="0" fontId="21" fillId="0" borderId="0" xfId="0" applyFont="1" applyAlignment="1">
      <alignment horizontal="right" vertical="top" wrapText="1"/>
    </xf>
    <xf numFmtId="0" fontId="14" fillId="7" borderId="0" xfId="0" applyFont="1" applyFill="1" applyAlignment="1">
      <alignment horizontal="right" vertical="center" indent="1"/>
    </xf>
    <xf numFmtId="0" fontId="18" fillId="0" borderId="0" xfId="0" applyFont="1" applyAlignment="1">
      <alignment horizontal="center" vertical="center"/>
    </xf>
    <xf numFmtId="0" fontId="5" fillId="0" borderId="0" xfId="0" applyFont="1" applyAlignment="1">
      <alignment horizontal="center" vertical="center"/>
    </xf>
    <xf numFmtId="0" fontId="19" fillId="0" borderId="0" xfId="0" applyFont="1" applyAlignment="1">
      <alignment horizontal="center" vertical="center"/>
    </xf>
    <xf numFmtId="0" fontId="1" fillId="2" borderId="0" xfId="0" applyFont="1" applyFill="1" applyAlignment="1">
      <alignment horizontal="center" vertical="center"/>
    </xf>
    <xf numFmtId="0" fontId="8" fillId="0" borderId="0" xfId="0" applyFont="1" applyAlignment="1">
      <alignment horizontal="right" vertical="center" wrapText="1"/>
    </xf>
    <xf numFmtId="0" fontId="2" fillId="3" borderId="0" xfId="0" applyFont="1" applyFill="1" applyAlignment="1">
      <alignment horizontal="center" vertical="center"/>
    </xf>
    <xf numFmtId="0" fontId="0" fillId="3" borderId="0" xfId="0" applyFill="1"/>
    <xf numFmtId="0" fontId="8" fillId="0" borderId="0" xfId="0" applyFont="1" applyAlignment="1">
      <alignment horizontal="center" vertical="center"/>
    </xf>
    <xf numFmtId="0" fontId="6" fillId="6" borderId="0" xfId="0" applyFont="1" applyFill="1" applyAlignment="1">
      <alignment horizontal="center" vertical="center"/>
    </xf>
    <xf numFmtId="0" fontId="11" fillId="0" borderId="0" xfId="0" applyFont="1" applyAlignment="1">
      <alignment horizontal="right" vertical="center" wrapText="1"/>
    </xf>
    <xf numFmtId="0" fontId="4" fillId="5" borderId="3" xfId="0" applyFont="1" applyFill="1" applyBorder="1" applyAlignment="1">
      <alignment horizontal="right" vertical="center" wrapText="1"/>
    </xf>
    <xf numFmtId="0" fontId="16" fillId="7" borderId="0" xfId="0" applyFont="1" applyFill="1" applyAlignment="1">
      <alignment horizontal="right" vertical="center" indent="1"/>
    </xf>
    <xf numFmtId="0" fontId="4" fillId="5" borderId="3" xfId="0" applyFont="1" applyFill="1" applyBorder="1" applyAlignment="1">
      <alignment horizontal="right" vertical="top" wrapText="1"/>
    </xf>
    <xf numFmtId="1" fontId="4" fillId="5" borderId="3" xfId="0" applyNumberFormat="1" applyFont="1" applyFill="1" applyBorder="1" applyAlignment="1">
      <alignment horizontal="right" vertical="center" wrapText="1"/>
    </xf>
    <xf numFmtId="164" fontId="4" fillId="5" borderId="3" xfId="0" applyNumberFormat="1" applyFont="1" applyFill="1" applyBorder="1" applyAlignment="1">
      <alignment horizontal="right" vertical="center" wrapText="1"/>
    </xf>
    <xf numFmtId="9" fontId="4" fillId="5" borderId="3" xfId="0" applyNumberFormat="1" applyFont="1" applyFill="1" applyBorder="1" applyAlignment="1">
      <alignment horizontal="right" vertical="center" wrapText="1"/>
    </xf>
    <xf numFmtId="0" fontId="17" fillId="6" borderId="3" xfId="0" applyFont="1" applyFill="1" applyBorder="1" applyAlignment="1">
      <alignment horizontal="center" vertical="center" wrapText="1"/>
    </xf>
    <xf numFmtId="0" fontId="27" fillId="6" borderId="0" xfId="0" applyFont="1" applyFill="1" applyAlignment="1">
      <alignment horizontal="center" vertical="center" wrapText="1"/>
    </xf>
    <xf numFmtId="0" fontId="10" fillId="0" borderId="0" xfId="0" applyFont="1" applyAlignment="1">
      <alignment horizontal="right" vertical="center" wrapText="1"/>
    </xf>
    <xf numFmtId="0" fontId="28" fillId="8" borderId="0" xfId="0" applyFont="1" applyFill="1" applyAlignment="1">
      <alignment horizontal="right" vertical="top" wrapText="1"/>
    </xf>
    <xf numFmtId="0" fontId="0" fillId="8" borderId="0" xfId="0" applyFill="1"/>
    <xf numFmtId="0" fontId="8" fillId="0" borderId="0" xfId="0" applyFont="1" applyAlignment="1">
      <alignment horizontal="right" vertical="top" wrapText="1"/>
    </xf>
    <xf numFmtId="0" fontId="0" fillId="0" borderId="0" xfId="0" applyNumberFormat="1"/>
    <xf numFmtId="1" fontId="31" fillId="0" borderId="0" xfId="0" applyNumberFormat="1" applyFont="1" applyAlignment="1">
      <alignment horizontal="center" vertical="center"/>
    </xf>
    <xf numFmtId="0" fontId="0" fillId="11" borderId="0" xfId="0" applyFill="1"/>
    <xf numFmtId="0" fontId="0" fillId="11" borderId="1" xfId="0" applyFill="1" applyBorder="1"/>
  </cellXfs>
  <cellStyles count="2">
    <cellStyle name="Normal" xfId="0" builtinId="0"/>
    <cellStyle name="Percent" xfId="1" builtinId="5"/>
  </cellStyles>
  <dxfs count="37">
    <dxf>
      <font>
        <b/>
        <color rgb="FF006100"/>
        <name val="Arial"/>
      </font>
      <fill>
        <patternFill patternType="solid">
          <fgColor rgb="FFC6EFCE"/>
        </patternFill>
      </fill>
    </dxf>
    <dxf>
      <font>
        <b/>
        <color rgb="FF9C6500"/>
        <name val="Arial"/>
      </font>
      <fill>
        <patternFill patternType="solid">
          <fgColor rgb="FFFFEB9C"/>
        </patternFill>
      </fill>
    </dxf>
    <dxf>
      <font>
        <b/>
        <color rgb="FF1F2937"/>
        <name val="Arial"/>
      </font>
      <fill>
        <patternFill patternType="solid">
          <fgColor rgb="FFE4E6EA"/>
        </patternFill>
      </fill>
    </dxf>
    <dxf>
      <font>
        <b/>
        <color rgb="FF006100"/>
        <name val="Arial"/>
      </font>
      <fill>
        <patternFill patternType="solid">
          <fgColor rgb="FFC6EFCE"/>
        </patternFill>
      </fill>
    </dxf>
    <dxf>
      <font>
        <b/>
        <color rgb="FFFFFFFF"/>
        <name val="Arial"/>
      </font>
      <fill>
        <patternFill patternType="solid">
          <fgColor rgb="FFC00000"/>
        </patternFill>
      </fill>
    </dxf>
    <dxf>
      <font>
        <b/>
        <color rgb="FF375623"/>
        <name val="Arial"/>
      </font>
      <fill>
        <patternFill patternType="solid">
          <fgColor rgb="FFA9D18E"/>
        </patternFill>
      </fill>
    </dxf>
    <dxf>
      <font>
        <b/>
        <color rgb="FFFFFFFF"/>
        <name val="Arial"/>
      </font>
      <fill>
        <patternFill patternType="solid">
          <fgColor rgb="FFC00000"/>
        </patternFill>
      </fill>
    </dxf>
    <dxf>
      <font>
        <b/>
        <color rgb="FF006100"/>
        <name val="Arial"/>
      </font>
      <fill>
        <patternFill patternType="solid">
          <fgColor rgb="FFC6EFCE"/>
        </patternFill>
      </fill>
    </dxf>
    <dxf>
      <font>
        <b/>
        <color rgb="FF9C6500"/>
        <name val="Arial"/>
      </font>
      <fill>
        <patternFill patternType="solid">
          <fgColor rgb="FFFFEB9C"/>
        </patternFill>
      </fill>
    </dxf>
    <dxf>
      <font>
        <b/>
        <color rgb="FF1F2937"/>
        <name val="Arial"/>
      </font>
      <fill>
        <patternFill patternType="solid">
          <fgColor rgb="FFE4E6EA"/>
        </patternFill>
      </fill>
    </dxf>
    <dxf>
      <font>
        <b/>
        <color rgb="FF9C6500"/>
        <name val="Arial"/>
      </font>
      <fill>
        <patternFill patternType="solid">
          <fgColor rgb="FFFFEB9C"/>
        </patternFill>
      </fill>
    </dxf>
    <dxf>
      <font>
        <b/>
        <color rgb="FFC0500F"/>
        <name val="Arial"/>
      </font>
      <fill>
        <patternFill patternType="solid">
          <fgColor rgb="FFFCE4D6"/>
        </patternFill>
      </fill>
    </dxf>
    <dxf>
      <font>
        <b/>
        <color rgb="FFFFFFFF"/>
        <name val="Arial"/>
      </font>
      <fill>
        <patternFill patternType="solid">
          <fgColor rgb="FFC00000"/>
        </patternFill>
      </fill>
    </dxf>
    <dxf>
      <font>
        <b/>
        <color rgb="FF555555"/>
        <name val="Arial"/>
      </font>
      <fill>
        <patternFill patternType="solid">
          <fgColor rgb="FFE7E6E6"/>
        </patternFill>
      </fill>
    </dxf>
    <dxf>
      <font>
        <b/>
        <color rgb="FF9C0006"/>
        <name val="Arial"/>
      </font>
      <fill>
        <patternFill patternType="solid">
          <fgColor rgb="FFFFC7CE"/>
        </patternFill>
      </fill>
    </dxf>
    <dxf>
      <font>
        <b/>
        <color rgb="FF9C6500"/>
        <name val="Arial"/>
      </font>
      <fill>
        <patternFill patternType="solid">
          <fgColor rgb="FFFFEB9C"/>
        </patternFill>
      </fill>
    </dxf>
    <dxf>
      <font>
        <b/>
        <color rgb="FF006100"/>
        <name val="Arial"/>
      </font>
      <fill>
        <patternFill patternType="solid">
          <fgColor rgb="FFC6EFCE"/>
        </patternFill>
      </fill>
    </dxf>
    <dxf>
      <font>
        <b/>
        <color rgb="FF375623"/>
        <name val="Arial"/>
      </font>
      <fill>
        <patternFill patternType="solid">
          <fgColor rgb="FFA9D18E"/>
        </patternFill>
      </fill>
    </dxf>
    <dxf>
      <font>
        <b/>
        <color rgb="FFFFFFFF"/>
        <name val="Arial"/>
      </font>
      <fill>
        <patternFill patternType="solid">
          <fgColor rgb="FFC00000"/>
        </patternFill>
      </fill>
    </dxf>
    <dxf>
      <font>
        <b/>
        <color rgb="FF006100"/>
        <name val="Arial"/>
      </font>
      <fill>
        <patternFill patternType="solid">
          <fgColor rgb="FFC6EFCE"/>
        </patternFill>
      </fill>
    </dxf>
    <dxf>
      <font>
        <b/>
        <color rgb="FF9C6500"/>
        <name val="Arial"/>
      </font>
      <fill>
        <patternFill patternType="solid">
          <fgColor rgb="FFFFEB9C"/>
        </patternFill>
      </fill>
    </dxf>
    <dxf>
      <font>
        <b/>
        <color rgb="FF1F2937"/>
        <name val="Arial"/>
      </font>
      <fill>
        <patternFill patternType="solid">
          <fgColor rgb="FFE4E6EA"/>
        </patternFill>
      </fill>
    </dxf>
    <dxf>
      <font>
        <b/>
        <color rgb="FF9C0006"/>
        <name val="Arial"/>
      </font>
      <fill>
        <patternFill patternType="solid">
          <fgColor rgb="FFFFC7CE"/>
        </patternFill>
      </fill>
    </dxf>
    <dxf>
      <font>
        <b/>
        <color rgb="FF555555"/>
        <name val="Arial"/>
      </font>
      <fill>
        <patternFill patternType="solid">
          <fgColor rgb="FFE7E6E6"/>
        </patternFill>
      </fill>
    </dxf>
    <dxf>
      <font>
        <b/>
        <color rgb="FF1F2937"/>
        <name val="Arial"/>
      </font>
      <fill>
        <patternFill patternType="solid">
          <fgColor rgb="FFE4E6EA"/>
        </patternFill>
      </fill>
    </dxf>
    <dxf>
      <font>
        <b/>
        <color rgb="FF9C6500"/>
        <name val="Arial"/>
      </font>
      <fill>
        <patternFill patternType="solid">
          <fgColor rgb="FFFFEB9C"/>
        </patternFill>
      </fill>
    </dxf>
    <dxf>
      <font>
        <b/>
        <color rgb="FFC0500F"/>
        <name val="Arial"/>
      </font>
      <fill>
        <patternFill patternType="solid">
          <fgColor rgb="FFFCE4D6"/>
        </patternFill>
      </fill>
    </dxf>
    <dxf>
      <font>
        <b/>
        <color rgb="FFFFFFFF"/>
        <name val="Arial"/>
      </font>
      <fill>
        <patternFill patternType="solid">
          <fgColor rgb="FFC00000"/>
        </patternFill>
      </fill>
    </dxf>
    <dxf>
      <font>
        <b/>
        <color rgb="FF555555"/>
        <name val="Arial"/>
      </font>
      <fill>
        <patternFill patternType="solid">
          <fgColor rgb="FFE7E6E6"/>
        </patternFill>
      </fill>
    </dxf>
    <dxf>
      <font>
        <b/>
        <color rgb="FF9C0006"/>
        <name val="Arial"/>
      </font>
      <fill>
        <patternFill patternType="solid">
          <fgColor rgb="FFFFC7CE"/>
        </patternFill>
      </fill>
    </dxf>
    <dxf>
      <font>
        <b/>
        <color rgb="FF9C6500"/>
        <name val="Arial"/>
      </font>
      <fill>
        <patternFill patternType="solid">
          <fgColor rgb="FFFFEB9C"/>
        </patternFill>
      </fill>
    </dxf>
    <dxf>
      <font>
        <b/>
        <color rgb="FF006100"/>
        <name val="Arial"/>
      </font>
      <fill>
        <patternFill patternType="solid">
          <fgColor rgb="FFC6EFCE"/>
        </patternFill>
      </fill>
    </dxf>
    <dxf>
      <font>
        <b/>
        <color rgb="FF555555"/>
        <name val="Arial"/>
      </font>
      <fill>
        <patternFill patternType="solid">
          <fgColor rgb="FFE7E6E6"/>
        </patternFill>
      </fill>
    </dxf>
    <dxf>
      <font>
        <b/>
        <color rgb="FF9C0006"/>
        <name val="Arial"/>
      </font>
      <fill>
        <patternFill patternType="solid">
          <fgColor rgb="FFFFC7CE"/>
        </patternFill>
      </fill>
    </dxf>
    <dxf>
      <font>
        <b/>
        <color rgb="FF9C6500"/>
        <name val="Arial"/>
      </font>
      <fill>
        <patternFill patternType="solid">
          <fgColor rgb="FFFFEB9C"/>
        </patternFill>
      </fill>
    </dxf>
    <dxf>
      <font>
        <b/>
        <color rgb="FF006100"/>
        <name val="Arial"/>
      </font>
      <fill>
        <patternFill patternType="solid">
          <fgColor rgb="FFC6EFCE"/>
        </patternFill>
      </fill>
    </dxf>
    <dxf>
      <font>
        <color theme="0"/>
      </font>
      <fill>
        <patternFill>
          <bgColor rgb="FF13233F"/>
        </patternFill>
      </fill>
    </dxf>
  </dxfs>
  <tableStyles count="1" defaultTableStyle="TableStyleMedium9" defaultPivotStyle="PivotStyleLight16">
    <tableStyle name="Slicer Style 1" pivot="0" table="0" count="2" xr9:uid="{7ACCEDA4-2FA7-4048-925A-A66956FBEE62}">
      <tableStyleElement type="headerRow" dxfId="36"/>
    </tableStyle>
  </tableStyles>
  <colors>
    <mruColors>
      <color rgb="FF0E7C55"/>
      <color rgb="FF0B5E41"/>
      <color rgb="FF13233F"/>
      <color rgb="FF1F2937"/>
      <color rgb="FFC9A227"/>
    </mruColors>
  </colors>
  <extLst>
    <ext xmlns:x14="http://schemas.microsoft.com/office/spreadsheetml/2009/9/main" uri="{46F421CA-312F-682f-3DD2-61675219B42D}">
      <x14:dxfs count="1">
        <dxf>
          <font>
            <color theme="0"/>
          </font>
          <fill>
            <patternFill>
              <bgColor rgb="FF0B5E41"/>
            </patternFill>
          </fill>
        </dxf>
      </x14:dxfs>
    </ext>
    <ext xmlns:x14="http://schemas.microsoft.com/office/spreadsheetml/2009/9/main" uri="{EB79DEF2-80B8-43e5-95BD-54CBDDF9020C}">
      <x14:slicerStyles defaultSlicerStyle="SlicerStyleLight1">
        <x14:slicerStyle name="Slicer Style 1">
          <x14:slicerStyleElements>
            <x14:slicerStyleElement type="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07/relationships/slicerCache" Target="slicerCaches/slicerCache2.xml"/><Relationship Id="rId26" Type="http://schemas.openxmlformats.org/officeDocument/2006/relationships/sharedStrings" Target="sharedStrings.xml"/><Relationship Id="rId3" Type="http://schemas.openxmlformats.org/officeDocument/2006/relationships/worksheet" Target="worksheets/sheet3.xml"/><Relationship Id="rId21" Type="http://schemas.microsoft.com/office/2007/relationships/slicerCache" Target="slicerCaches/slicerCache5.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07/relationships/slicerCache" Target="slicerCaches/slicerCache1.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pivotCacheDefinition" Target="pivotCache/pivotCacheDefinition3.xml"/><Relationship Id="rId20" Type="http://schemas.microsoft.com/office/2007/relationships/slicerCache" Target="slicerCaches/slicerCache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pivotCacheDefinition" Target="pivotCache/pivotCacheDefinition2.xml"/><Relationship Id="rId23" Type="http://schemas.microsoft.com/office/2007/relationships/slicerCache" Target="slicerCaches/slicerCache7.xml"/><Relationship Id="rId10" Type="http://schemas.openxmlformats.org/officeDocument/2006/relationships/worksheet" Target="worksheets/sheet10.xml"/><Relationship Id="rId19" Type="http://schemas.microsoft.com/office/2007/relationships/slicerCache" Target="slicerCaches/slicerCache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 Id="rId22" Type="http://schemas.microsoft.com/office/2007/relationships/slicerCache" Target="slicerCaches/slicerCache6.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pivotSource>
    <c:name>[داشبورد_٠٦٥٤٤٨ (1).xlsx]pivot!PivotTable1</c:name>
    <c:fmtId val="5"/>
  </c:pivotSource>
  <c:chart>
    <c:title>
      <c:tx>
        <c:rich>
          <a:bodyPr rot="0" spcFirstLastPara="1" vertOverflow="ellipsis" vert="horz" wrap="square" anchor="ctr" anchorCtr="1"/>
          <a:lstStyle/>
          <a:p>
            <a:pPr>
              <a:defRPr sz="1400" b="0" i="0" u="none" strike="noStrike" kern="1200" spc="0" baseline="0">
                <a:solidFill>
                  <a:srgbClr val="1F2937"/>
                </a:solidFill>
                <a:latin typeface="+mn-lt"/>
                <a:ea typeface="+mn-ea"/>
                <a:cs typeface="+mn-cs"/>
              </a:defRPr>
            </a:pPr>
            <a:r>
              <a:rPr lang="ar-EG">
                <a:solidFill>
                  <a:srgbClr val="1F2937"/>
                </a:solidFill>
              </a:rPr>
              <a:t>نسبة الجاهزية حسب المحور</a:t>
            </a:r>
            <a:endParaRPr lang="en-US">
              <a:solidFill>
                <a:srgbClr val="1F2937"/>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1F2937"/>
              </a:solidFill>
              <a:latin typeface="+mn-lt"/>
              <a:ea typeface="+mn-ea"/>
              <a:cs typeface="+mn-cs"/>
            </a:defRPr>
          </a:pPr>
          <a:endParaRPr lang="en-US"/>
        </a:p>
      </c:txPr>
    </c:title>
    <c:autoTitleDeleted val="0"/>
    <c:pivotFmts>
      <c:pivotFmt>
        <c:idx val="0"/>
        <c:spPr>
          <a:solidFill>
            <a:schemeClr val="accent1"/>
          </a:solidFill>
          <a:ln>
            <a:noFill/>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13233F"/>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pivot!$B$3</c:f>
              <c:strCache>
                <c:ptCount val="1"/>
                <c:pt idx="0">
                  <c:v>Total</c:v>
                </c:pt>
              </c:strCache>
            </c:strRef>
          </c:tx>
          <c:spPr>
            <a:solidFill>
              <a:srgbClr val="13233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pivot!$A$4:$A$14</c:f>
              <c:strCache>
                <c:ptCount val="10"/>
                <c:pt idx="0">
                  <c:v>الانتقال إلى إصدار 2026</c:v>
                </c:pt>
                <c:pt idx="1">
                  <c:v>البيانات والمعلومات</c:v>
                </c:pt>
                <c:pt idx="2">
                  <c:v>التصنيف والاستقلالية</c:v>
                </c:pt>
                <c:pt idx="3">
                  <c:v>الحياد</c:v>
                </c:pt>
                <c:pt idx="4">
                  <c:v>الشكاوى والتظلمات</c:v>
                </c:pt>
                <c:pt idx="5">
                  <c:v>العميل والاتصال</c:v>
                </c:pt>
                <c:pt idx="6">
                  <c:v>المخاطر والفرص</c:v>
                </c:pt>
                <c:pt idx="7">
                  <c:v>الموارد والكفاءة</c:v>
                </c:pt>
                <c:pt idx="8">
                  <c:v>أنشطة وإجراءات التفتيش</c:v>
                </c:pt>
                <c:pt idx="9">
                  <c:v>نظام الإدارة والتحسين</c:v>
                </c:pt>
              </c:strCache>
            </c:strRef>
          </c:cat>
          <c:val>
            <c:numRef>
              <c:f>pivot!$B$4:$B$14</c:f>
              <c:numCache>
                <c:formatCode>General</c:formatCode>
                <c:ptCount val="10"/>
                <c:pt idx="0">
                  <c:v>3</c:v>
                </c:pt>
                <c:pt idx="1">
                  <c:v>4</c:v>
                </c:pt>
                <c:pt idx="2">
                  <c:v>3</c:v>
                </c:pt>
                <c:pt idx="3">
                  <c:v>3</c:v>
                </c:pt>
                <c:pt idx="4">
                  <c:v>3</c:v>
                </c:pt>
                <c:pt idx="5">
                  <c:v>3</c:v>
                </c:pt>
                <c:pt idx="6">
                  <c:v>4</c:v>
                </c:pt>
                <c:pt idx="7">
                  <c:v>4</c:v>
                </c:pt>
                <c:pt idx="8">
                  <c:v>4</c:v>
                </c:pt>
                <c:pt idx="9">
                  <c:v>4</c:v>
                </c:pt>
              </c:numCache>
            </c:numRef>
          </c:val>
          <c:extLst>
            <c:ext xmlns:c16="http://schemas.microsoft.com/office/drawing/2014/chart" uri="{C3380CC4-5D6E-409C-BE32-E72D297353CC}">
              <c16:uniqueId val="{00000000-65E2-4C08-837C-0D859A073A34}"/>
            </c:ext>
          </c:extLst>
        </c:ser>
        <c:dLbls>
          <c:dLblPos val="outEnd"/>
          <c:showLegendKey val="0"/>
          <c:showVal val="1"/>
          <c:showCatName val="0"/>
          <c:showSerName val="0"/>
          <c:showPercent val="0"/>
          <c:showBubbleSize val="0"/>
        </c:dLbls>
        <c:gapWidth val="219"/>
        <c:overlap val="-27"/>
        <c:axId val="1922017711"/>
        <c:axId val="1922988255"/>
      </c:barChart>
      <c:catAx>
        <c:axId val="192201771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1922988255"/>
        <c:crosses val="autoZero"/>
        <c:auto val="1"/>
        <c:lblAlgn val="ctr"/>
        <c:lblOffset val="100"/>
        <c:noMultiLvlLbl val="0"/>
      </c:catAx>
      <c:valAx>
        <c:axId val="1922988255"/>
        <c:scaling>
          <c:orientation val="minMax"/>
        </c:scaling>
        <c:delete val="1"/>
        <c:axPos val="l"/>
        <c:numFmt formatCode="General" sourceLinked="1"/>
        <c:majorTickMark val="none"/>
        <c:minorTickMark val="none"/>
        <c:tickLblPos val="nextTo"/>
        <c:crossAx val="192201771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pivotSource>
    <c:name>[داشبورد_٠٦٥٤٤٨ (1).xlsx]pivot!PivotTable2</c:name>
    <c:fmtId val="3"/>
  </c:pivotSource>
  <c:chart>
    <c:title>
      <c:tx>
        <c:rich>
          <a:bodyPr rot="0" spcFirstLastPara="1" vertOverflow="ellipsis" vert="horz" wrap="square" anchor="ctr" anchorCtr="1"/>
          <a:lstStyle/>
          <a:p>
            <a:pPr algn="ctr" rtl="0">
              <a:defRPr lang="ar-EG" sz="1400" b="0" i="0" u="none" strike="noStrike" kern="1200" spc="0" baseline="0">
                <a:solidFill>
                  <a:srgbClr val="1F2937"/>
                </a:solidFill>
                <a:latin typeface="+mn-lt"/>
                <a:ea typeface="+mn-ea"/>
                <a:cs typeface="+mn-cs"/>
              </a:defRPr>
            </a:pPr>
            <a:r>
              <a:rPr lang="ar-EG" sz="1400" b="0" i="0" u="none" strike="noStrike" kern="1200" spc="0" baseline="0">
                <a:solidFill>
                  <a:srgbClr val="1F2937"/>
                </a:solidFill>
                <a:latin typeface="+mn-lt"/>
                <a:ea typeface="+mn-ea"/>
                <a:cs typeface="+mn-cs"/>
              </a:rPr>
              <a:t>توزيع حالة المتطلبات</a:t>
            </a:r>
          </a:p>
        </c:rich>
      </c:tx>
      <c:overlay val="0"/>
      <c:spPr>
        <a:noFill/>
        <a:ln>
          <a:noFill/>
        </a:ln>
        <a:effectLst/>
      </c:spPr>
      <c:txPr>
        <a:bodyPr rot="0" spcFirstLastPara="1" vertOverflow="ellipsis" vert="horz" wrap="square" anchor="ctr" anchorCtr="1"/>
        <a:lstStyle/>
        <a:p>
          <a:pPr algn="ctr" rtl="0">
            <a:defRPr lang="ar-EG" sz="1400" b="0" i="0" u="none" strike="noStrike" kern="1200" spc="0" baseline="0">
              <a:solidFill>
                <a:srgbClr val="1F2937"/>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1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13233F"/>
          </a:solidFill>
          <a:ln w="19050">
            <a:solidFill>
              <a:schemeClr val="lt1"/>
            </a:solidFill>
          </a:ln>
          <a:effectLst/>
        </c:spPr>
      </c:pivotFmt>
      <c:pivotFmt>
        <c:idx val="8"/>
        <c:spPr>
          <a:solidFill>
            <a:srgbClr val="13233F">
              <a:alpha val="88000"/>
            </a:srgbClr>
          </a:solidFill>
          <a:ln w="19050">
            <a:solidFill>
              <a:schemeClr val="lt1"/>
            </a:solidFill>
          </a:ln>
          <a:effectLst/>
        </c:spPr>
      </c:pivotFmt>
      <c:pivotFmt>
        <c:idx val="9"/>
        <c:spPr>
          <a:solidFill>
            <a:srgbClr val="0B5E41"/>
          </a:solidFill>
          <a:ln w="19050">
            <a:solidFill>
              <a:schemeClr val="lt1"/>
            </a:solidFill>
          </a:ln>
          <a:effectLst/>
        </c:spPr>
      </c:pivotFmt>
      <c:pivotFmt>
        <c:idx val="10"/>
        <c:spPr>
          <a:solidFill>
            <a:srgbClr val="C9A227"/>
          </a:solidFill>
          <a:ln w="19050">
            <a:solidFill>
              <a:schemeClr val="lt1"/>
            </a:solidFill>
          </a:ln>
          <a:effectLst/>
        </c:spPr>
      </c:pivotFmt>
    </c:pivotFmts>
    <c:plotArea>
      <c:layout/>
      <c:doughnutChart>
        <c:varyColors val="1"/>
        <c:ser>
          <c:idx val="0"/>
          <c:order val="0"/>
          <c:tx>
            <c:strRef>
              <c:f>pivot!$E$3</c:f>
              <c:strCache>
                <c:ptCount val="1"/>
                <c:pt idx="0">
                  <c:v>Total</c:v>
                </c:pt>
              </c:strCache>
            </c:strRef>
          </c:tx>
          <c:dPt>
            <c:idx val="0"/>
            <c:bubble3D val="0"/>
            <c:spPr>
              <a:solidFill>
                <a:srgbClr val="13233F"/>
              </a:solidFill>
              <a:ln w="19050">
                <a:solidFill>
                  <a:schemeClr val="lt1"/>
                </a:solidFill>
              </a:ln>
              <a:effectLst/>
            </c:spPr>
            <c:extLst>
              <c:ext xmlns:c16="http://schemas.microsoft.com/office/drawing/2014/chart" uri="{C3380CC4-5D6E-409C-BE32-E72D297353CC}">
                <c16:uniqueId val="{00000001-E44C-48C3-9B79-62786440377B}"/>
              </c:ext>
            </c:extLst>
          </c:dPt>
          <c:dPt>
            <c:idx val="1"/>
            <c:bubble3D val="0"/>
            <c:spPr>
              <a:solidFill>
                <a:srgbClr val="13233F">
                  <a:alpha val="88000"/>
                </a:srgbClr>
              </a:solidFill>
              <a:ln w="19050">
                <a:solidFill>
                  <a:schemeClr val="lt1"/>
                </a:solidFill>
              </a:ln>
              <a:effectLst/>
            </c:spPr>
            <c:extLst>
              <c:ext xmlns:c16="http://schemas.microsoft.com/office/drawing/2014/chart" uri="{C3380CC4-5D6E-409C-BE32-E72D297353CC}">
                <c16:uniqueId val="{00000003-E44C-48C3-9B79-62786440377B}"/>
              </c:ext>
            </c:extLst>
          </c:dPt>
          <c:dPt>
            <c:idx val="2"/>
            <c:bubble3D val="0"/>
            <c:spPr>
              <a:solidFill>
                <a:srgbClr val="0B5E41"/>
              </a:solidFill>
              <a:ln w="19050">
                <a:solidFill>
                  <a:schemeClr val="lt1"/>
                </a:solidFill>
              </a:ln>
              <a:effectLst/>
            </c:spPr>
            <c:extLst>
              <c:ext xmlns:c16="http://schemas.microsoft.com/office/drawing/2014/chart" uri="{C3380CC4-5D6E-409C-BE32-E72D297353CC}">
                <c16:uniqueId val="{00000005-E44C-48C3-9B79-62786440377B}"/>
              </c:ext>
            </c:extLst>
          </c:dPt>
          <c:dPt>
            <c:idx val="3"/>
            <c:bubble3D val="0"/>
            <c:spPr>
              <a:solidFill>
                <a:srgbClr val="C9A227"/>
              </a:solidFill>
              <a:ln w="19050">
                <a:solidFill>
                  <a:schemeClr val="lt1"/>
                </a:solidFill>
              </a:ln>
              <a:effectLst/>
            </c:spPr>
            <c:extLst>
              <c:ext xmlns:c16="http://schemas.microsoft.com/office/drawing/2014/chart" uri="{C3380CC4-5D6E-409C-BE32-E72D297353CC}">
                <c16:uniqueId val="{00000007-E44C-48C3-9B79-62786440377B}"/>
              </c:ext>
            </c:extLst>
          </c:dPt>
          <c:dLbls>
            <c:spPr>
              <a:noFill/>
              <a:ln>
                <a:noFill/>
              </a:ln>
              <a:effectLst/>
            </c:spPr>
            <c:txPr>
              <a:bodyPr rot="0" spcFirstLastPara="1" vertOverflow="ellipsis" vert="horz" wrap="square" lIns="38100" tIns="19050" rIns="38100" bIns="19050" anchor="ctr" anchorCtr="1">
                <a:spAutoFit/>
              </a:bodyPr>
              <a:lstStyle/>
              <a:p>
                <a:pPr>
                  <a:defRPr lang="en-US" sz="11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pivot!$D$4:$D$8</c:f>
              <c:strCache>
                <c:ptCount val="4"/>
                <c:pt idx="0">
                  <c:v>غير مطبق</c:v>
                </c:pt>
                <c:pt idx="1">
                  <c:v>لا ينطبق</c:v>
                </c:pt>
                <c:pt idx="2">
                  <c:v>مطبق بالكامل</c:v>
                </c:pt>
                <c:pt idx="3">
                  <c:v>مطبق جزئيًا</c:v>
                </c:pt>
              </c:strCache>
            </c:strRef>
          </c:cat>
          <c:val>
            <c:numRef>
              <c:f>pivot!$E$4:$E$8</c:f>
              <c:numCache>
                <c:formatCode>General</c:formatCode>
                <c:ptCount val="4"/>
                <c:pt idx="0">
                  <c:v>10</c:v>
                </c:pt>
                <c:pt idx="1">
                  <c:v>1</c:v>
                </c:pt>
                <c:pt idx="2">
                  <c:v>7</c:v>
                </c:pt>
                <c:pt idx="3">
                  <c:v>17</c:v>
                </c:pt>
              </c:numCache>
            </c:numRef>
          </c:val>
          <c:extLst>
            <c:ext xmlns:c16="http://schemas.microsoft.com/office/drawing/2014/chart" uri="{C3380CC4-5D6E-409C-BE32-E72D297353CC}">
              <c16:uniqueId val="{00000008-E44C-48C3-9B79-62786440377B}"/>
            </c:ext>
          </c:extLst>
        </c:ser>
        <c:dLbls>
          <c:showLegendKey val="0"/>
          <c:showVal val="1"/>
          <c:showCatName val="0"/>
          <c:showSerName val="0"/>
          <c:showPercent val="0"/>
          <c:showBubbleSize val="0"/>
          <c:showLeaderLines val="1"/>
        </c:dLbls>
        <c:firstSliceAng val="0"/>
        <c:holeSize val="75"/>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lang="en-US" sz="1400" b="0" i="0" u="none" strike="noStrike" kern="1200" baseline="0">
              <a:ln>
                <a:noFill/>
              </a:ln>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pivotSource>
    <c:name>[داشبورد_٠٦٥٤٤٨ (1).xlsx]pivot!PivotTable3</c:name>
    <c:fmtId val="3"/>
  </c:pivotSource>
  <c:chart>
    <c:title>
      <c:tx>
        <c:rich>
          <a:bodyPr rot="0" spcFirstLastPara="1" vertOverflow="ellipsis" vert="horz" wrap="square" anchor="ctr" anchorCtr="1"/>
          <a:lstStyle/>
          <a:p>
            <a:pPr algn="ctr" rtl="0">
              <a:defRPr lang="ar-EG" sz="1400" b="0" i="0" u="none" strike="noStrike" kern="1200" spc="0" baseline="0">
                <a:solidFill>
                  <a:srgbClr val="1F2937"/>
                </a:solidFill>
                <a:latin typeface="+mn-lt"/>
                <a:ea typeface="+mn-ea"/>
                <a:cs typeface="+mn-cs"/>
              </a:defRPr>
            </a:pPr>
            <a:r>
              <a:rPr lang="ar-EG" sz="1400" b="0" i="0" u="none" strike="noStrike" kern="1200" spc="0" baseline="0">
                <a:solidFill>
                  <a:srgbClr val="1F2937"/>
                </a:solidFill>
                <a:latin typeface="+mn-lt"/>
                <a:ea typeface="+mn-ea"/>
                <a:cs typeface="+mn-cs"/>
              </a:rPr>
              <a:t>توزيع درجات الفجوات</a:t>
            </a:r>
          </a:p>
        </c:rich>
      </c:tx>
      <c:overlay val="0"/>
      <c:spPr>
        <a:noFill/>
        <a:ln>
          <a:noFill/>
        </a:ln>
        <a:effectLst/>
      </c:spPr>
      <c:txPr>
        <a:bodyPr rot="0" spcFirstLastPara="1" vertOverflow="ellipsis" vert="horz" wrap="square" anchor="ctr" anchorCtr="1"/>
        <a:lstStyle/>
        <a:p>
          <a:pPr algn="ctr" rtl="0">
            <a:defRPr lang="ar-EG" sz="1400" b="0" i="0" u="none" strike="noStrike" kern="1200" spc="0" baseline="0">
              <a:solidFill>
                <a:srgbClr val="1F2937"/>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C9A227"/>
          </a:solidFill>
          <a:ln>
            <a:noFill/>
          </a:ln>
          <a:effectLst/>
        </c:spPr>
        <c:marker>
          <c:symbol val="none"/>
        </c:marker>
        <c:dLbl>
          <c:idx val="0"/>
          <c:spPr>
            <a:noFill/>
            <a:ln>
              <a:noFill/>
            </a:ln>
            <a:effectLst/>
          </c:spPr>
          <c:txPr>
            <a:bodyPr rot="0" spcFirstLastPara="1" vertOverflow="ellipsis" vert="horz" wrap="square" anchor="ctr" anchorCtr="1"/>
            <a:lstStyle/>
            <a:p>
              <a:pPr>
                <a:defRPr lang="en-US" sz="11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C9A227"/>
          </a:solidFill>
          <a:ln>
            <a:noFill/>
          </a:ln>
          <a:effectLst/>
        </c:spPr>
      </c:pivotFmt>
      <c:pivotFmt>
        <c:idx val="4"/>
        <c:spPr>
          <a:solidFill>
            <a:srgbClr val="13233F"/>
          </a:solidFill>
          <a:ln>
            <a:noFill/>
          </a:ln>
          <a:effectLst/>
        </c:spPr>
      </c:pivotFmt>
      <c:pivotFmt>
        <c:idx val="5"/>
        <c:spPr>
          <a:solidFill>
            <a:srgbClr val="0B5E41"/>
          </a:solidFill>
          <a:ln>
            <a:noFill/>
          </a:ln>
          <a:effectLst/>
        </c:spPr>
      </c:pivotFmt>
      <c:pivotFmt>
        <c:idx val="6"/>
        <c:spPr>
          <a:solidFill>
            <a:srgbClr val="0E7C55"/>
          </a:solidFill>
          <a:ln>
            <a:noFill/>
          </a:ln>
          <a:effectLst/>
        </c:spPr>
      </c:pivotFmt>
    </c:pivotFmts>
    <c:plotArea>
      <c:layout/>
      <c:barChart>
        <c:barDir val="bar"/>
        <c:grouping val="clustered"/>
        <c:varyColors val="0"/>
        <c:ser>
          <c:idx val="0"/>
          <c:order val="0"/>
          <c:tx>
            <c:strRef>
              <c:f>pivot!$H$3</c:f>
              <c:strCache>
                <c:ptCount val="1"/>
                <c:pt idx="0">
                  <c:v>Total</c:v>
                </c:pt>
              </c:strCache>
            </c:strRef>
          </c:tx>
          <c:spPr>
            <a:solidFill>
              <a:srgbClr val="C9A227"/>
            </a:solidFill>
            <a:ln>
              <a:noFill/>
            </a:ln>
            <a:effectLst/>
          </c:spPr>
          <c:invertIfNegative val="0"/>
          <c:dPt>
            <c:idx val="0"/>
            <c:invertIfNegative val="0"/>
            <c:bubble3D val="0"/>
            <c:spPr>
              <a:solidFill>
                <a:srgbClr val="0E7C55"/>
              </a:solidFill>
              <a:ln>
                <a:noFill/>
              </a:ln>
              <a:effectLst/>
            </c:spPr>
            <c:extLst>
              <c:ext xmlns:c16="http://schemas.microsoft.com/office/drawing/2014/chart" uri="{C3380CC4-5D6E-409C-BE32-E72D297353CC}">
                <c16:uniqueId val="{00000004-3420-4D98-8C5D-8BDA0A030C30}"/>
              </c:ext>
            </c:extLst>
          </c:dPt>
          <c:dPt>
            <c:idx val="2"/>
            <c:invertIfNegative val="0"/>
            <c:bubble3D val="0"/>
            <c:spPr>
              <a:solidFill>
                <a:srgbClr val="13233F"/>
              </a:solidFill>
              <a:ln>
                <a:noFill/>
              </a:ln>
              <a:effectLst/>
            </c:spPr>
            <c:extLst>
              <c:ext xmlns:c16="http://schemas.microsoft.com/office/drawing/2014/chart" uri="{C3380CC4-5D6E-409C-BE32-E72D297353CC}">
                <c16:uniqueId val="{00000002-3420-4D98-8C5D-8BDA0A030C30}"/>
              </c:ext>
            </c:extLst>
          </c:dPt>
          <c:dPt>
            <c:idx val="4"/>
            <c:invertIfNegative val="0"/>
            <c:bubble3D val="0"/>
            <c:spPr>
              <a:solidFill>
                <a:srgbClr val="0B5E41"/>
              </a:solidFill>
              <a:ln>
                <a:noFill/>
              </a:ln>
              <a:effectLst/>
            </c:spPr>
            <c:extLst>
              <c:ext xmlns:c16="http://schemas.microsoft.com/office/drawing/2014/chart" uri="{C3380CC4-5D6E-409C-BE32-E72D297353CC}">
                <c16:uniqueId val="{00000003-3420-4D98-8C5D-8BDA0A030C30}"/>
              </c:ext>
            </c:extLst>
          </c:dPt>
          <c:dLbls>
            <c:spPr>
              <a:noFill/>
              <a:ln>
                <a:noFill/>
              </a:ln>
              <a:effectLst/>
            </c:spPr>
            <c:txPr>
              <a:bodyPr rot="0" spcFirstLastPara="1" vertOverflow="ellipsis" vert="horz" wrap="square" anchor="ctr" anchorCtr="1"/>
              <a:lstStyle/>
              <a:p>
                <a:pPr>
                  <a:defRPr lang="en-US" sz="11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pivot!$G$4:$G$10</c:f>
              <c:strCache>
                <c:ptCount val="6"/>
                <c:pt idx="0">
                  <c:v>ثانوي</c:v>
                </c:pt>
                <c:pt idx="1">
                  <c:v>حرج</c:v>
                </c:pt>
                <c:pt idx="2">
                  <c:v>رئيسي</c:v>
                </c:pt>
                <c:pt idx="3">
                  <c:v>لا ينطبق</c:v>
                </c:pt>
                <c:pt idx="4">
                  <c:v>ملاحظة</c:v>
                </c:pt>
                <c:pt idx="5">
                  <c:v>(blank)</c:v>
                </c:pt>
              </c:strCache>
            </c:strRef>
          </c:cat>
          <c:val>
            <c:numRef>
              <c:f>pivot!$H$4:$H$10</c:f>
              <c:numCache>
                <c:formatCode>General</c:formatCode>
                <c:ptCount val="6"/>
                <c:pt idx="0">
                  <c:v>10</c:v>
                </c:pt>
                <c:pt idx="1">
                  <c:v>2</c:v>
                </c:pt>
                <c:pt idx="2">
                  <c:v>13</c:v>
                </c:pt>
                <c:pt idx="3">
                  <c:v>1</c:v>
                </c:pt>
                <c:pt idx="4">
                  <c:v>2</c:v>
                </c:pt>
                <c:pt idx="5">
                  <c:v>7</c:v>
                </c:pt>
              </c:numCache>
            </c:numRef>
          </c:val>
          <c:extLst>
            <c:ext xmlns:c16="http://schemas.microsoft.com/office/drawing/2014/chart" uri="{C3380CC4-5D6E-409C-BE32-E72D297353CC}">
              <c16:uniqueId val="{00000000-3420-4D98-8C5D-8BDA0A030C30}"/>
            </c:ext>
          </c:extLst>
        </c:ser>
        <c:dLbls>
          <c:dLblPos val="outEnd"/>
          <c:showLegendKey val="0"/>
          <c:showVal val="1"/>
          <c:showCatName val="0"/>
          <c:showSerName val="0"/>
          <c:showPercent val="0"/>
          <c:showBubbleSize val="0"/>
        </c:dLbls>
        <c:gapWidth val="153"/>
        <c:axId val="1875261343"/>
        <c:axId val="1922996415"/>
      </c:barChart>
      <c:catAx>
        <c:axId val="187526134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50" b="1" i="0" u="none" strike="noStrike" kern="1200" baseline="0">
                <a:solidFill>
                  <a:schemeClr val="tx1"/>
                </a:solidFill>
                <a:latin typeface="+mn-lt"/>
                <a:ea typeface="+mn-ea"/>
                <a:cs typeface="+mn-cs"/>
              </a:defRPr>
            </a:pPr>
            <a:endParaRPr lang="en-US"/>
          </a:p>
        </c:txPr>
        <c:crossAx val="1922996415"/>
        <c:crosses val="autoZero"/>
        <c:auto val="1"/>
        <c:lblAlgn val="ctr"/>
        <c:lblOffset val="100"/>
        <c:noMultiLvlLbl val="0"/>
      </c:catAx>
      <c:valAx>
        <c:axId val="1922996415"/>
        <c:scaling>
          <c:orientation val="minMax"/>
        </c:scaling>
        <c:delete val="1"/>
        <c:axPos val="b"/>
        <c:numFmt formatCode="General" sourceLinked="1"/>
        <c:majorTickMark val="none"/>
        <c:minorTickMark val="none"/>
        <c:tickLblPos val="nextTo"/>
        <c:crossAx val="18752613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pivotSource>
    <c:name>[داشبورد_٠٦٥٤٤٨ (1).xlsx]pivot!PivotTable4</c:name>
    <c:fmtId val="3"/>
  </c:pivotSource>
  <c:chart>
    <c:title>
      <c:tx>
        <c:rich>
          <a:bodyPr rot="0" spcFirstLastPara="1" vertOverflow="ellipsis" vert="horz" wrap="square" anchor="ctr" anchorCtr="1"/>
          <a:lstStyle/>
          <a:p>
            <a:pPr algn="ctr" rtl="0">
              <a:defRPr lang="ar-EG" sz="1400" b="0" i="0" u="none" strike="noStrike" kern="1200" spc="0" baseline="0">
                <a:solidFill>
                  <a:srgbClr val="1F2937"/>
                </a:solidFill>
                <a:latin typeface="+mn-lt"/>
                <a:ea typeface="+mn-ea"/>
                <a:cs typeface="+mn-cs"/>
              </a:defRPr>
            </a:pPr>
            <a:r>
              <a:rPr lang="ar-EG" sz="1400" b="0" i="0" u="none" strike="noStrike" kern="1200" spc="0" baseline="0">
                <a:solidFill>
                  <a:srgbClr val="1F2937"/>
                </a:solidFill>
                <a:latin typeface="+mn-lt"/>
                <a:ea typeface="+mn-ea"/>
                <a:cs typeface="+mn-cs"/>
              </a:rPr>
              <a:t>حالة الاجراءات</a:t>
            </a:r>
          </a:p>
        </c:rich>
      </c:tx>
      <c:overlay val="0"/>
      <c:spPr>
        <a:noFill/>
        <a:ln>
          <a:noFill/>
        </a:ln>
        <a:effectLst/>
      </c:spPr>
      <c:txPr>
        <a:bodyPr rot="0" spcFirstLastPara="1" vertOverflow="ellipsis" vert="horz" wrap="square" anchor="ctr" anchorCtr="1"/>
        <a:lstStyle/>
        <a:p>
          <a:pPr algn="ctr" rtl="0">
            <a:defRPr lang="ar-EG" sz="1400" b="0" i="0" u="none" strike="noStrike" kern="1200" spc="0" baseline="0">
              <a:solidFill>
                <a:srgbClr val="1F2937"/>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0B5E41"/>
          </a:solidFill>
          <a:ln>
            <a:noFill/>
          </a:ln>
          <a:effectLst/>
        </c:spPr>
      </c:pivotFmt>
      <c:pivotFmt>
        <c:idx val="4"/>
        <c:spPr>
          <a:solidFill>
            <a:srgbClr val="0B5E41"/>
          </a:solidFill>
          <a:ln>
            <a:noFill/>
          </a:ln>
          <a:effectLst/>
        </c:spPr>
      </c:pivotFmt>
      <c:pivotFmt>
        <c:idx val="5"/>
        <c:spPr>
          <a:solidFill>
            <a:srgbClr val="C9A227"/>
          </a:solidFill>
          <a:ln>
            <a:noFill/>
          </a:ln>
          <a:effectLst/>
        </c:spPr>
      </c:pivotFmt>
      <c:pivotFmt>
        <c:idx val="6"/>
        <c:spPr>
          <a:solidFill>
            <a:srgbClr val="C9A227"/>
          </a:solidFill>
          <a:ln>
            <a:noFill/>
          </a:ln>
          <a:effectLst/>
        </c:spPr>
      </c:pivotFmt>
      <c:pivotFmt>
        <c:idx val="7"/>
        <c:spPr>
          <a:solidFill>
            <a:srgbClr val="13233F"/>
          </a:solidFill>
          <a:ln>
            <a:noFill/>
          </a:ln>
          <a:effectLst/>
        </c:spPr>
      </c:pivotFmt>
    </c:pivotFmts>
    <c:plotArea>
      <c:layout/>
      <c:barChart>
        <c:barDir val="col"/>
        <c:grouping val="clustered"/>
        <c:varyColors val="0"/>
        <c:ser>
          <c:idx val="0"/>
          <c:order val="0"/>
          <c:tx>
            <c:strRef>
              <c:f>pivot!$K$3</c:f>
              <c:strCache>
                <c:ptCount val="1"/>
                <c:pt idx="0">
                  <c:v>Total</c:v>
                </c:pt>
              </c:strCache>
            </c:strRef>
          </c:tx>
          <c:spPr>
            <a:solidFill>
              <a:schemeClr val="accent1"/>
            </a:solidFill>
            <a:ln>
              <a:noFill/>
            </a:ln>
            <a:effectLst/>
          </c:spPr>
          <c:invertIfNegative val="0"/>
          <c:dPt>
            <c:idx val="0"/>
            <c:invertIfNegative val="0"/>
            <c:bubble3D val="0"/>
            <c:spPr>
              <a:solidFill>
                <a:srgbClr val="0B5E41"/>
              </a:solidFill>
              <a:ln>
                <a:noFill/>
              </a:ln>
              <a:effectLst/>
            </c:spPr>
            <c:extLst>
              <c:ext xmlns:c16="http://schemas.microsoft.com/office/drawing/2014/chart" uri="{C3380CC4-5D6E-409C-BE32-E72D297353CC}">
                <c16:uniqueId val="{00000002-C5A2-4D93-9DC6-ECF5CFB8FA52}"/>
              </c:ext>
            </c:extLst>
          </c:dPt>
          <c:dPt>
            <c:idx val="1"/>
            <c:invertIfNegative val="0"/>
            <c:bubble3D val="0"/>
            <c:spPr>
              <a:solidFill>
                <a:srgbClr val="C9A227"/>
              </a:solidFill>
              <a:ln>
                <a:noFill/>
              </a:ln>
              <a:effectLst/>
            </c:spPr>
            <c:extLst>
              <c:ext xmlns:c16="http://schemas.microsoft.com/office/drawing/2014/chart" uri="{C3380CC4-5D6E-409C-BE32-E72D297353CC}">
                <c16:uniqueId val="{00000003-C5A2-4D93-9DC6-ECF5CFB8FA52}"/>
              </c:ext>
            </c:extLst>
          </c:dPt>
          <c:dPt>
            <c:idx val="2"/>
            <c:invertIfNegative val="0"/>
            <c:bubble3D val="0"/>
            <c:spPr>
              <a:solidFill>
                <a:srgbClr val="C9A227"/>
              </a:solidFill>
              <a:ln>
                <a:noFill/>
              </a:ln>
              <a:effectLst/>
            </c:spPr>
            <c:extLst>
              <c:ext xmlns:c16="http://schemas.microsoft.com/office/drawing/2014/chart" uri="{C3380CC4-5D6E-409C-BE32-E72D297353CC}">
                <c16:uniqueId val="{00000004-C5A2-4D93-9DC6-ECF5CFB8FA52}"/>
              </c:ext>
            </c:extLst>
          </c:dPt>
          <c:dPt>
            <c:idx val="3"/>
            <c:invertIfNegative val="0"/>
            <c:bubble3D val="0"/>
            <c:spPr>
              <a:solidFill>
                <a:srgbClr val="13233F"/>
              </a:solidFill>
              <a:ln>
                <a:noFill/>
              </a:ln>
              <a:effectLst/>
            </c:spPr>
            <c:extLst>
              <c:ext xmlns:c16="http://schemas.microsoft.com/office/drawing/2014/chart" uri="{C3380CC4-5D6E-409C-BE32-E72D297353CC}">
                <c16:uniqueId val="{00000005-C5A2-4D93-9DC6-ECF5CFB8FA52}"/>
              </c:ext>
            </c:extLst>
          </c:dPt>
          <c:dPt>
            <c:idx val="4"/>
            <c:invertIfNegative val="0"/>
            <c:bubble3D val="0"/>
            <c:spPr>
              <a:solidFill>
                <a:srgbClr val="0B5E41"/>
              </a:solidFill>
              <a:ln>
                <a:noFill/>
              </a:ln>
              <a:effectLst/>
            </c:spPr>
            <c:extLst>
              <c:ext xmlns:c16="http://schemas.microsoft.com/office/drawing/2014/chart" uri="{C3380CC4-5D6E-409C-BE32-E72D297353CC}">
                <c16:uniqueId val="{00000001-C5A2-4D93-9DC6-ECF5CFB8FA52}"/>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pivot!$J$4:$J$9</c:f>
              <c:strCache>
                <c:ptCount val="5"/>
                <c:pt idx="0">
                  <c:v>تم التحقق من الإغلاق</c:v>
                </c:pt>
                <c:pt idx="1">
                  <c:v>قيد التنفيذ</c:v>
                </c:pt>
                <c:pt idx="2">
                  <c:v>لم يبدأ</c:v>
                </c:pt>
                <c:pt idx="3">
                  <c:v>متأخر</c:v>
                </c:pt>
                <c:pt idx="4">
                  <c:v>مكتمل</c:v>
                </c:pt>
              </c:strCache>
            </c:strRef>
          </c:cat>
          <c:val>
            <c:numRef>
              <c:f>pivot!$K$4:$K$9</c:f>
              <c:numCache>
                <c:formatCode>General</c:formatCode>
                <c:ptCount val="5"/>
                <c:pt idx="0">
                  <c:v>1</c:v>
                </c:pt>
                <c:pt idx="1">
                  <c:v>10</c:v>
                </c:pt>
                <c:pt idx="2">
                  <c:v>10</c:v>
                </c:pt>
                <c:pt idx="3">
                  <c:v>4</c:v>
                </c:pt>
                <c:pt idx="4">
                  <c:v>2</c:v>
                </c:pt>
              </c:numCache>
            </c:numRef>
          </c:val>
          <c:extLst>
            <c:ext xmlns:c16="http://schemas.microsoft.com/office/drawing/2014/chart" uri="{C3380CC4-5D6E-409C-BE32-E72D297353CC}">
              <c16:uniqueId val="{00000000-C5A2-4D93-9DC6-ECF5CFB8FA52}"/>
            </c:ext>
          </c:extLst>
        </c:ser>
        <c:dLbls>
          <c:dLblPos val="outEnd"/>
          <c:showLegendKey val="0"/>
          <c:showVal val="1"/>
          <c:showCatName val="0"/>
          <c:showSerName val="0"/>
          <c:showPercent val="0"/>
          <c:showBubbleSize val="0"/>
        </c:dLbls>
        <c:gapWidth val="219"/>
        <c:overlap val="-27"/>
        <c:axId val="1981722367"/>
        <c:axId val="1922994495"/>
      </c:barChart>
      <c:catAx>
        <c:axId val="19817223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922994495"/>
        <c:crosses val="autoZero"/>
        <c:auto val="1"/>
        <c:lblAlgn val="ctr"/>
        <c:lblOffset val="100"/>
        <c:noMultiLvlLbl val="0"/>
      </c:catAx>
      <c:valAx>
        <c:axId val="1922994495"/>
        <c:scaling>
          <c:orientation val="minMax"/>
        </c:scaling>
        <c:delete val="1"/>
        <c:axPos val="l"/>
        <c:numFmt formatCode="General" sourceLinked="1"/>
        <c:majorTickMark val="none"/>
        <c:minorTickMark val="none"/>
        <c:tickLblPos val="nextTo"/>
        <c:crossAx val="198172236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pivotSource>
    <c:name>[داشبورد_٠٦٥٤٤٨ (1).xlsx]pivot!PivotTable5</c:name>
    <c:fmtId val="3"/>
  </c:pivotSource>
  <c:chart>
    <c:title>
      <c:tx>
        <c:rich>
          <a:bodyPr rot="0" spcFirstLastPara="1" vertOverflow="ellipsis" vert="horz" wrap="square" anchor="ctr" anchorCtr="1"/>
          <a:lstStyle/>
          <a:p>
            <a:pPr algn="ctr" rtl="0">
              <a:defRPr lang="ar-EG" sz="1400" b="0" i="0" u="none" strike="noStrike" kern="1200" spc="0" baseline="0">
                <a:solidFill>
                  <a:srgbClr val="1F2937"/>
                </a:solidFill>
                <a:latin typeface="+mn-lt"/>
                <a:ea typeface="+mn-ea"/>
                <a:cs typeface="+mn-cs"/>
              </a:defRPr>
            </a:pPr>
            <a:r>
              <a:rPr lang="ar-EG" sz="1400" b="0" i="0" u="none" strike="noStrike" kern="1200" spc="0" baseline="0">
                <a:solidFill>
                  <a:srgbClr val="1F2937"/>
                </a:solidFill>
                <a:latin typeface="+mn-lt"/>
                <a:ea typeface="+mn-ea"/>
                <a:cs typeface="+mn-cs"/>
              </a:rPr>
              <a:t>توزيع الاولويات</a:t>
            </a:r>
          </a:p>
        </c:rich>
      </c:tx>
      <c:overlay val="0"/>
      <c:spPr>
        <a:noFill/>
        <a:ln>
          <a:noFill/>
        </a:ln>
        <a:effectLst/>
      </c:spPr>
      <c:txPr>
        <a:bodyPr rot="0" spcFirstLastPara="1" vertOverflow="ellipsis" vert="horz" wrap="square" anchor="ctr" anchorCtr="1"/>
        <a:lstStyle/>
        <a:p>
          <a:pPr algn="ctr" rtl="0">
            <a:defRPr lang="ar-EG" sz="1400" b="0" i="0" u="none" strike="noStrike" kern="1200" spc="0" baseline="0">
              <a:solidFill>
                <a:srgbClr val="1F2937"/>
              </a:solidFill>
              <a:latin typeface="+mn-lt"/>
              <a:ea typeface="+mn-ea"/>
              <a:cs typeface="+mn-cs"/>
            </a:defRPr>
          </a:pPr>
          <a:endParaRPr lang="en-US"/>
        </a:p>
      </c:txPr>
    </c:title>
    <c:autoTitleDeleted val="0"/>
    <c:pivotFmts>
      <c:pivotFmt>
        <c:idx val="0"/>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
        <c:idx val="4"/>
        <c:spPr>
          <a:solidFill>
            <a:schemeClr val="accent1"/>
          </a:solidFill>
          <a:ln w="25400">
            <a:solidFill>
              <a:schemeClr val="lt1"/>
            </a:solidFill>
          </a:ln>
          <a:effectLst/>
          <a:sp3d contourW="25400">
            <a:contourClr>
              <a:schemeClr val="lt1"/>
            </a:contourClr>
          </a:sp3d>
        </c:spPr>
      </c:pivotFmt>
      <c:pivotFmt>
        <c:idx val="5"/>
        <c:spPr>
          <a:solidFill>
            <a:schemeClr val="accent1"/>
          </a:solidFill>
          <a:ln w="25400">
            <a:solidFill>
              <a:schemeClr val="lt1"/>
            </a:solidFill>
          </a:ln>
          <a:effectLst/>
          <a:sp3d contourW="25400">
            <a:contourClr>
              <a:schemeClr val="lt1"/>
            </a:contourClr>
          </a:sp3d>
        </c:spPr>
      </c:pivotFmt>
      <c:pivotFmt>
        <c:idx val="6"/>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anchor="ctr" anchorCtr="1"/>
            <a:lstStyle/>
            <a:p>
              <a:pPr>
                <a:defRPr lang="en-US" sz="1200" b="1" i="0" u="none" strike="noStrike" kern="1200" baseline="0">
                  <a:solidFill>
                    <a:schemeClr val="bg1"/>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C9A227"/>
          </a:solidFill>
          <a:ln w="25400">
            <a:solidFill>
              <a:schemeClr val="lt1"/>
            </a:solidFill>
          </a:ln>
          <a:effectLst/>
          <a:sp3d contourW="25400">
            <a:contourClr>
              <a:schemeClr val="lt1"/>
            </a:contourClr>
          </a:sp3d>
        </c:spPr>
      </c:pivotFmt>
      <c:pivotFmt>
        <c:idx val="8"/>
        <c:spPr>
          <a:solidFill>
            <a:srgbClr val="13233F"/>
          </a:solidFill>
          <a:ln w="25400">
            <a:solidFill>
              <a:schemeClr val="lt1"/>
            </a:solidFill>
          </a:ln>
          <a:effectLst/>
          <a:sp3d contourW="25400">
            <a:contourClr>
              <a:schemeClr val="lt1"/>
            </a:contourClr>
          </a:sp3d>
        </c:spPr>
      </c:pivotFmt>
      <c:pivotFmt>
        <c:idx val="9"/>
        <c:spPr>
          <a:solidFill>
            <a:srgbClr val="0B5E41"/>
          </a:solidFill>
          <a:ln w="25400">
            <a:solidFill>
              <a:schemeClr val="lt1"/>
            </a:solidFill>
          </a:ln>
          <a:effectLst/>
          <a:sp3d contourW="25400">
            <a:contourClr>
              <a:schemeClr val="lt1"/>
            </a:contourClr>
          </a:sp3d>
        </c:spPr>
      </c:pivotFmt>
      <c:pivotFmt>
        <c:idx val="10"/>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pivot!$N$3</c:f>
              <c:strCache>
                <c:ptCount val="1"/>
                <c:pt idx="0">
                  <c:v>Total</c:v>
                </c:pt>
              </c:strCache>
            </c:strRef>
          </c:tx>
          <c:dPt>
            <c:idx val="0"/>
            <c:bubble3D val="0"/>
            <c:spPr>
              <a:solidFill>
                <a:srgbClr val="C9A227"/>
              </a:solidFill>
              <a:ln w="25400">
                <a:solidFill>
                  <a:schemeClr val="lt1"/>
                </a:solidFill>
              </a:ln>
              <a:effectLst/>
              <a:sp3d contourW="25400">
                <a:contourClr>
                  <a:schemeClr val="lt1"/>
                </a:contourClr>
              </a:sp3d>
            </c:spPr>
            <c:extLst>
              <c:ext xmlns:c16="http://schemas.microsoft.com/office/drawing/2014/chart" uri="{C3380CC4-5D6E-409C-BE32-E72D297353CC}">
                <c16:uniqueId val="{00000001-F98F-4BD8-AAB8-D8837085519B}"/>
              </c:ext>
            </c:extLst>
          </c:dPt>
          <c:dPt>
            <c:idx val="1"/>
            <c:bubble3D val="0"/>
            <c:spPr>
              <a:solidFill>
                <a:srgbClr val="13233F"/>
              </a:solidFill>
              <a:ln w="25400">
                <a:solidFill>
                  <a:schemeClr val="lt1"/>
                </a:solidFill>
              </a:ln>
              <a:effectLst/>
              <a:sp3d contourW="25400">
                <a:contourClr>
                  <a:schemeClr val="lt1"/>
                </a:contourClr>
              </a:sp3d>
            </c:spPr>
            <c:extLst>
              <c:ext xmlns:c16="http://schemas.microsoft.com/office/drawing/2014/chart" uri="{C3380CC4-5D6E-409C-BE32-E72D297353CC}">
                <c16:uniqueId val="{00000003-F98F-4BD8-AAB8-D8837085519B}"/>
              </c:ext>
            </c:extLst>
          </c:dPt>
          <c:dPt>
            <c:idx val="2"/>
            <c:bubble3D val="0"/>
            <c:spPr>
              <a:solidFill>
                <a:srgbClr val="0B5E41"/>
              </a:solidFill>
              <a:ln w="25400">
                <a:solidFill>
                  <a:schemeClr val="lt1"/>
                </a:solidFill>
              </a:ln>
              <a:effectLst/>
              <a:sp3d contourW="25400">
                <a:contourClr>
                  <a:schemeClr val="lt1"/>
                </a:contourClr>
              </a:sp3d>
            </c:spPr>
            <c:extLst>
              <c:ext xmlns:c16="http://schemas.microsoft.com/office/drawing/2014/chart" uri="{C3380CC4-5D6E-409C-BE32-E72D297353CC}">
                <c16:uniqueId val="{00000005-F98F-4BD8-AAB8-D8837085519B}"/>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F98F-4BD8-AAB8-D8837085519B}"/>
              </c:ext>
            </c:extLst>
          </c:dPt>
          <c:dLbls>
            <c:spPr>
              <a:noFill/>
              <a:ln>
                <a:noFill/>
              </a:ln>
              <a:effectLst/>
            </c:spPr>
            <c:txPr>
              <a:bodyPr rot="0" spcFirstLastPara="1" vertOverflow="ellipsis" vert="horz" wrap="square" anchor="ctr" anchorCtr="1"/>
              <a:lstStyle/>
              <a:p>
                <a:pPr>
                  <a:defRPr lang="en-US" sz="1200" b="1" i="0" u="none" strike="noStrike" kern="1200" baseline="0">
                    <a:solidFill>
                      <a:schemeClr val="bg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pivot!$M$4:$M$8</c:f>
              <c:strCache>
                <c:ptCount val="4"/>
                <c:pt idx="0">
                  <c:v>عالية</c:v>
                </c:pt>
                <c:pt idx="1">
                  <c:v>متوسطة</c:v>
                </c:pt>
                <c:pt idx="2">
                  <c:v>منخفضة</c:v>
                </c:pt>
                <c:pt idx="3">
                  <c:v>(blank)</c:v>
                </c:pt>
              </c:strCache>
            </c:strRef>
          </c:cat>
          <c:val>
            <c:numRef>
              <c:f>pivot!$N$4:$N$8</c:f>
              <c:numCache>
                <c:formatCode>General</c:formatCode>
                <c:ptCount val="4"/>
                <c:pt idx="0">
                  <c:v>12</c:v>
                </c:pt>
                <c:pt idx="1">
                  <c:v>9</c:v>
                </c:pt>
                <c:pt idx="2">
                  <c:v>6</c:v>
                </c:pt>
                <c:pt idx="3">
                  <c:v>8</c:v>
                </c:pt>
              </c:numCache>
            </c:numRef>
          </c:val>
          <c:extLst>
            <c:ext xmlns:c16="http://schemas.microsoft.com/office/drawing/2014/chart" uri="{C3380CC4-5D6E-409C-BE32-E72D297353CC}">
              <c16:uniqueId val="{00000008-F98F-4BD8-AAB8-D8837085519B}"/>
            </c:ext>
          </c:extLst>
        </c:ser>
        <c:dLbls>
          <c:dLblPos val="bestFit"/>
          <c:showLegendKey val="0"/>
          <c:showVal val="1"/>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lang="en-US" sz="1100" b="1"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pivotSource>
    <c:name>[داشبورد_٠٦٥٤٤٨ (1).xlsx]pivot!PivotTable6</c:name>
    <c:fmtId val="3"/>
  </c:pivotSource>
  <c:chart>
    <c:title>
      <c:tx>
        <c:rich>
          <a:bodyPr rot="0" spcFirstLastPara="1" vertOverflow="ellipsis" vert="horz" wrap="square" anchor="ctr" anchorCtr="1"/>
          <a:lstStyle/>
          <a:p>
            <a:pPr algn="ctr" rtl="0">
              <a:defRPr lang="ar-EG" sz="1400" b="0" i="0" u="none" strike="noStrike" kern="1200" spc="0" baseline="0">
                <a:solidFill>
                  <a:srgbClr val="1F2937"/>
                </a:solidFill>
                <a:latin typeface="+mn-lt"/>
                <a:ea typeface="+mn-ea"/>
                <a:cs typeface="+mn-cs"/>
              </a:defRPr>
            </a:pPr>
            <a:r>
              <a:rPr lang="ar-EG" sz="1400" b="0" i="0" u="none" strike="noStrike" kern="1200" spc="0" baseline="0">
                <a:solidFill>
                  <a:srgbClr val="1F2937"/>
                </a:solidFill>
                <a:latin typeface="+mn-lt"/>
                <a:ea typeface="+mn-ea"/>
                <a:cs typeface="+mn-cs"/>
              </a:rPr>
              <a:t>تقدم خطة الانتقال</a:t>
            </a:r>
          </a:p>
        </c:rich>
      </c:tx>
      <c:overlay val="0"/>
      <c:spPr>
        <a:noFill/>
        <a:ln>
          <a:noFill/>
        </a:ln>
        <a:effectLst/>
      </c:spPr>
      <c:txPr>
        <a:bodyPr rot="0" spcFirstLastPara="1" vertOverflow="ellipsis" vert="horz" wrap="square" anchor="ctr" anchorCtr="1"/>
        <a:lstStyle/>
        <a:p>
          <a:pPr algn="ctr" rtl="0">
            <a:defRPr lang="ar-EG" sz="1400" b="0" i="0" u="none" strike="noStrike" kern="1200" spc="0" baseline="0">
              <a:solidFill>
                <a:srgbClr val="1F2937"/>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0B5E41"/>
          </a:solidFill>
          <a:ln>
            <a:noFill/>
          </a:ln>
          <a:effectLst/>
        </c:spPr>
      </c:pivotFmt>
      <c:pivotFmt>
        <c:idx val="4"/>
        <c:spPr>
          <a:solidFill>
            <a:srgbClr val="13233F"/>
          </a:solidFill>
          <a:ln>
            <a:noFill/>
          </a:ln>
          <a:effectLst/>
        </c:spPr>
      </c:pivotFmt>
      <c:pivotFmt>
        <c:idx val="5"/>
        <c:spPr>
          <a:solidFill>
            <a:srgbClr val="C9A227"/>
          </a:solidFill>
          <a:ln>
            <a:noFill/>
          </a:ln>
          <a:effectLst/>
        </c:spPr>
      </c:pivotFmt>
      <c:pivotFmt>
        <c:idx val="6"/>
        <c:spPr>
          <a:solidFill>
            <a:srgbClr val="0B5E41"/>
          </a:solidFill>
          <a:ln>
            <a:noFill/>
          </a:ln>
          <a:effectLst/>
        </c:spPr>
      </c:pivotFmt>
    </c:pivotFmts>
    <c:plotArea>
      <c:layout/>
      <c:barChart>
        <c:barDir val="col"/>
        <c:grouping val="clustered"/>
        <c:varyColors val="0"/>
        <c:ser>
          <c:idx val="0"/>
          <c:order val="0"/>
          <c:tx>
            <c:strRef>
              <c:f>pivot!$Q$3</c:f>
              <c:strCache>
                <c:ptCount val="1"/>
                <c:pt idx="0">
                  <c:v>Total</c:v>
                </c:pt>
              </c:strCache>
            </c:strRef>
          </c:tx>
          <c:spPr>
            <a:solidFill>
              <a:schemeClr val="accent1"/>
            </a:solidFill>
            <a:ln>
              <a:noFill/>
            </a:ln>
            <a:effectLst/>
          </c:spPr>
          <c:invertIfNegative val="0"/>
          <c:dPt>
            <c:idx val="0"/>
            <c:invertIfNegative val="0"/>
            <c:bubble3D val="0"/>
            <c:spPr>
              <a:solidFill>
                <a:srgbClr val="0B5E41"/>
              </a:solidFill>
              <a:ln>
                <a:noFill/>
              </a:ln>
              <a:effectLst/>
            </c:spPr>
            <c:extLst>
              <c:ext xmlns:c16="http://schemas.microsoft.com/office/drawing/2014/chart" uri="{C3380CC4-5D6E-409C-BE32-E72D297353CC}">
                <c16:uniqueId val="{00000001-DB7B-4600-90CA-E5DD93FA1587}"/>
              </c:ext>
            </c:extLst>
          </c:dPt>
          <c:dPt>
            <c:idx val="1"/>
            <c:invertIfNegative val="0"/>
            <c:bubble3D val="0"/>
            <c:spPr>
              <a:solidFill>
                <a:srgbClr val="13233F"/>
              </a:solidFill>
              <a:ln>
                <a:noFill/>
              </a:ln>
              <a:effectLst/>
            </c:spPr>
            <c:extLst>
              <c:ext xmlns:c16="http://schemas.microsoft.com/office/drawing/2014/chart" uri="{C3380CC4-5D6E-409C-BE32-E72D297353CC}">
                <c16:uniqueId val="{00000002-DB7B-4600-90CA-E5DD93FA1587}"/>
              </c:ext>
            </c:extLst>
          </c:dPt>
          <c:dPt>
            <c:idx val="2"/>
            <c:invertIfNegative val="0"/>
            <c:bubble3D val="0"/>
            <c:spPr>
              <a:solidFill>
                <a:srgbClr val="C9A227"/>
              </a:solidFill>
              <a:ln>
                <a:noFill/>
              </a:ln>
              <a:effectLst/>
            </c:spPr>
            <c:extLst>
              <c:ext xmlns:c16="http://schemas.microsoft.com/office/drawing/2014/chart" uri="{C3380CC4-5D6E-409C-BE32-E72D297353CC}">
                <c16:uniqueId val="{00000003-DB7B-4600-90CA-E5DD93FA1587}"/>
              </c:ext>
            </c:extLst>
          </c:dPt>
          <c:dPt>
            <c:idx val="3"/>
            <c:invertIfNegative val="0"/>
            <c:bubble3D val="0"/>
            <c:spPr>
              <a:solidFill>
                <a:srgbClr val="0B5E41"/>
              </a:solidFill>
              <a:ln>
                <a:noFill/>
              </a:ln>
              <a:effectLst/>
            </c:spPr>
            <c:extLst>
              <c:ext xmlns:c16="http://schemas.microsoft.com/office/drawing/2014/chart" uri="{C3380CC4-5D6E-409C-BE32-E72D297353CC}">
                <c16:uniqueId val="{00000004-DB7B-4600-90CA-E5DD93FA1587}"/>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pivot!$P$4:$P$8</c:f>
              <c:strCache>
                <c:ptCount val="4"/>
                <c:pt idx="0">
                  <c:v>2026</c:v>
                </c:pt>
                <c:pt idx="1">
                  <c:v>2027</c:v>
                </c:pt>
                <c:pt idx="2">
                  <c:v>2028</c:v>
                </c:pt>
                <c:pt idx="3">
                  <c:v>المرحلة الختامية</c:v>
                </c:pt>
              </c:strCache>
            </c:strRef>
          </c:cat>
          <c:val>
            <c:numRef>
              <c:f>pivot!$Q$4:$Q$8</c:f>
              <c:numCache>
                <c:formatCode>General</c:formatCode>
                <c:ptCount val="4"/>
                <c:pt idx="0">
                  <c:v>5</c:v>
                </c:pt>
                <c:pt idx="1">
                  <c:v>5</c:v>
                </c:pt>
                <c:pt idx="2">
                  <c:v>5</c:v>
                </c:pt>
                <c:pt idx="3">
                  <c:v>5</c:v>
                </c:pt>
              </c:numCache>
            </c:numRef>
          </c:val>
          <c:extLst>
            <c:ext xmlns:c16="http://schemas.microsoft.com/office/drawing/2014/chart" uri="{C3380CC4-5D6E-409C-BE32-E72D297353CC}">
              <c16:uniqueId val="{00000000-DB7B-4600-90CA-E5DD93FA1587}"/>
            </c:ext>
          </c:extLst>
        </c:ser>
        <c:dLbls>
          <c:dLblPos val="outEnd"/>
          <c:showLegendKey val="0"/>
          <c:showVal val="1"/>
          <c:showCatName val="0"/>
          <c:showSerName val="0"/>
          <c:showPercent val="0"/>
          <c:showBubbleSize val="0"/>
        </c:dLbls>
        <c:gapWidth val="219"/>
        <c:overlap val="-27"/>
        <c:axId val="1988815711"/>
        <c:axId val="1994774271"/>
      </c:barChart>
      <c:catAx>
        <c:axId val="19888157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1994774271"/>
        <c:crosses val="autoZero"/>
        <c:auto val="1"/>
        <c:lblAlgn val="ctr"/>
        <c:lblOffset val="100"/>
        <c:noMultiLvlLbl val="0"/>
      </c:catAx>
      <c:valAx>
        <c:axId val="1994774271"/>
        <c:scaling>
          <c:orientation val="minMax"/>
        </c:scaling>
        <c:delete val="1"/>
        <c:axPos val="l"/>
        <c:numFmt formatCode="General" sourceLinked="1"/>
        <c:majorTickMark val="none"/>
        <c:minorTickMark val="none"/>
        <c:tickLblPos val="nextTo"/>
        <c:crossAx val="198881571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3.jpeg"/><Relationship Id="rId3" Type="http://schemas.openxmlformats.org/officeDocument/2006/relationships/chart" Target="../charts/chart3.xml"/><Relationship Id="rId7"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552450</xdr:colOff>
      <xdr:row>0</xdr:row>
      <xdr:rowOff>6350</xdr:rowOff>
    </xdr:from>
    <xdr:ext cx="2000250" cy="95250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0818660100" y="6350"/>
          <a:ext cx="2000250" cy="95250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10</xdr:col>
      <xdr:colOff>0</xdr:colOff>
      <xdr:row>0</xdr:row>
      <xdr:rowOff>0</xdr:rowOff>
    </xdr:from>
    <xdr:ext cx="1066800" cy="504825"/>
    <xdr:pic>
      <xdr:nvPicPr>
        <xdr:cNvPr id="2" name="Image 1" descr="Picture">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5</xdr:col>
      <xdr:colOff>0</xdr:colOff>
      <xdr:row>0</xdr:row>
      <xdr:rowOff>0</xdr:rowOff>
    </xdr:from>
    <xdr:ext cx="1066800" cy="504825"/>
    <xdr:pic>
      <xdr:nvPicPr>
        <xdr:cNvPr id="2" name="Image 1" descr="Picture">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6</xdr:col>
      <xdr:colOff>0</xdr:colOff>
      <xdr:row>0</xdr:row>
      <xdr:rowOff>0</xdr:rowOff>
    </xdr:from>
    <xdr:ext cx="1066800" cy="504825"/>
    <xdr:pic>
      <xdr:nvPicPr>
        <xdr:cNvPr id="2" name="Image 1" descr="Picture">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0</xdr:row>
      <xdr:rowOff>0</xdr:rowOff>
    </xdr:from>
    <xdr:ext cx="1066800" cy="504825"/>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3</xdr:col>
      <xdr:colOff>224590</xdr:colOff>
      <xdr:row>4</xdr:row>
      <xdr:rowOff>0</xdr:rowOff>
    </xdr:from>
    <xdr:to>
      <xdr:col>6</xdr:col>
      <xdr:colOff>216570</xdr:colOff>
      <xdr:row>10</xdr:row>
      <xdr:rowOff>110067</xdr:rowOff>
    </xdr:to>
    <xdr:sp macro="" textlink="">
      <xdr:nvSpPr>
        <xdr:cNvPr id="2" name="Rectangle: Rounded Corners 1">
          <a:extLst>
            <a:ext uri="{FF2B5EF4-FFF2-40B4-BE49-F238E27FC236}">
              <a16:creationId xmlns:a16="http://schemas.microsoft.com/office/drawing/2014/main" id="{78BDDD60-B0FC-55B6-E0ED-05E2D84A5ACC}"/>
            </a:ext>
          </a:extLst>
        </xdr:cNvPr>
        <xdr:cNvSpPr/>
      </xdr:nvSpPr>
      <xdr:spPr>
        <a:xfrm flipH="1">
          <a:off x="10015624319" y="714963"/>
          <a:ext cx="1826425" cy="1182511"/>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a:p>
      </xdr:txBody>
    </xdr:sp>
    <xdr:clientData/>
  </xdr:twoCellAnchor>
  <xdr:twoCellAnchor>
    <xdr:from>
      <xdr:col>3</xdr:col>
      <xdr:colOff>455334</xdr:colOff>
      <xdr:row>8</xdr:row>
      <xdr:rowOff>62422</xdr:rowOff>
    </xdr:from>
    <xdr:to>
      <xdr:col>6</xdr:col>
      <xdr:colOff>26329</xdr:colOff>
      <xdr:row>9</xdr:row>
      <xdr:rowOff>160230</xdr:rowOff>
    </xdr:to>
    <xdr:sp macro="" textlink="">
      <xdr:nvSpPr>
        <xdr:cNvPr id="5" name="TextBox 4">
          <a:extLst>
            <a:ext uri="{FF2B5EF4-FFF2-40B4-BE49-F238E27FC236}">
              <a16:creationId xmlns:a16="http://schemas.microsoft.com/office/drawing/2014/main" id="{07653156-EFA2-BA03-C16B-BD5CCB833464}"/>
            </a:ext>
          </a:extLst>
        </xdr:cNvPr>
        <xdr:cNvSpPr txBox="1"/>
      </xdr:nvSpPr>
      <xdr:spPr>
        <a:xfrm flipH="1">
          <a:off x="10015814560" y="1492348"/>
          <a:ext cx="1405440" cy="276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rgbClr val="C9A227"/>
              </a:solidFill>
            </a:rPr>
            <a:t>نسبة الجاهزية العامة</a:t>
          </a:r>
        </a:p>
      </xdr:txBody>
    </xdr:sp>
    <xdr:clientData/>
  </xdr:twoCellAnchor>
  <xdr:twoCellAnchor>
    <xdr:from>
      <xdr:col>4</xdr:col>
      <xdr:colOff>90743</xdr:colOff>
      <xdr:row>6</xdr:row>
      <xdr:rowOff>117698</xdr:rowOff>
    </xdr:from>
    <xdr:to>
      <xdr:col>5</xdr:col>
      <xdr:colOff>390919</xdr:colOff>
      <xdr:row>8</xdr:row>
      <xdr:rowOff>109302</xdr:rowOff>
    </xdr:to>
    <xdr:sp macro="" textlink="pivot!$C$25">
      <xdr:nvSpPr>
        <xdr:cNvPr id="6" name="TextBox 5">
          <a:extLst>
            <a:ext uri="{FF2B5EF4-FFF2-40B4-BE49-F238E27FC236}">
              <a16:creationId xmlns:a16="http://schemas.microsoft.com/office/drawing/2014/main" id="{825629EF-CD0A-CEF4-9F8C-54F49CAC73FF}"/>
            </a:ext>
          </a:extLst>
        </xdr:cNvPr>
        <xdr:cNvSpPr txBox="1"/>
      </xdr:nvSpPr>
      <xdr:spPr>
        <a:xfrm flipH="1">
          <a:off x="10016061452" y="1190142"/>
          <a:ext cx="911657" cy="349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053DF144-E794-4C1D-A728-1EBF2A119E0A}" type="TxLink">
            <a:rPr lang="en-US" sz="1800" b="1" i="0" u="none" strike="noStrike">
              <a:solidFill>
                <a:srgbClr val="13233F"/>
              </a:solidFill>
              <a:latin typeface="Calibri"/>
              <a:cs typeface="Calibri"/>
            </a:rPr>
            <a:pPr algn="ctr"/>
            <a:t>45.6%</a:t>
          </a:fld>
          <a:endParaRPr lang="en-US" sz="1800" b="1">
            <a:solidFill>
              <a:srgbClr val="13233F"/>
            </a:solidFill>
          </a:endParaRPr>
        </a:p>
      </xdr:txBody>
    </xdr:sp>
    <xdr:clientData/>
  </xdr:twoCellAnchor>
  <xdr:twoCellAnchor>
    <xdr:from>
      <xdr:col>15</xdr:col>
      <xdr:colOff>832505</xdr:colOff>
      <xdr:row>8</xdr:row>
      <xdr:rowOff>62422</xdr:rowOff>
    </xdr:from>
    <xdr:to>
      <xdr:col>16</xdr:col>
      <xdr:colOff>869880</xdr:colOff>
      <xdr:row>10</xdr:row>
      <xdr:rowOff>107134</xdr:rowOff>
    </xdr:to>
    <xdr:sp macro="" textlink="">
      <xdr:nvSpPr>
        <xdr:cNvPr id="9" name="TextBox 8">
          <a:extLst>
            <a:ext uri="{FF2B5EF4-FFF2-40B4-BE49-F238E27FC236}">
              <a16:creationId xmlns:a16="http://schemas.microsoft.com/office/drawing/2014/main" id="{DAC0644D-7A71-4834-940F-0DFA887C3E6E}"/>
            </a:ext>
          </a:extLst>
        </xdr:cNvPr>
        <xdr:cNvSpPr txBox="1"/>
      </xdr:nvSpPr>
      <xdr:spPr>
        <a:xfrm flipH="1">
          <a:off x="10008244713" y="1492348"/>
          <a:ext cx="1260338" cy="4021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400" b="1">
              <a:solidFill>
                <a:srgbClr val="C9A227"/>
              </a:solidFill>
              <a:latin typeface="+mn-lt"/>
              <a:ea typeface="+mn-ea"/>
              <a:cs typeface="+mn-cs"/>
            </a:rPr>
            <a:t>إجمالي </a:t>
          </a:r>
          <a:r>
            <a:rPr lang="ar-EG" sz="1400" b="1">
              <a:solidFill>
                <a:srgbClr val="C9A227"/>
              </a:solidFill>
              <a:latin typeface="+mn-lt"/>
              <a:ea typeface="+mn-ea"/>
              <a:cs typeface="+mn-cs"/>
            </a:rPr>
            <a:t>ال</a:t>
          </a:r>
          <a:r>
            <a:rPr lang="en-US" sz="1400" b="1">
              <a:solidFill>
                <a:srgbClr val="C9A227"/>
              </a:solidFill>
              <a:latin typeface="+mn-lt"/>
              <a:ea typeface="+mn-ea"/>
              <a:cs typeface="+mn-cs"/>
            </a:rPr>
            <a:t>متطلبات</a:t>
          </a:r>
        </a:p>
      </xdr:txBody>
    </xdr:sp>
    <xdr:clientData/>
  </xdr:twoCellAnchor>
  <xdr:twoCellAnchor>
    <xdr:from>
      <xdr:col>15</xdr:col>
      <xdr:colOff>1091288</xdr:colOff>
      <xdr:row>6</xdr:row>
      <xdr:rowOff>113570</xdr:rowOff>
    </xdr:from>
    <xdr:to>
      <xdr:col>16</xdr:col>
      <xdr:colOff>763750</xdr:colOff>
      <xdr:row>8</xdr:row>
      <xdr:rowOff>113431</xdr:rowOff>
    </xdr:to>
    <xdr:sp macro="" textlink="pivot!$C$26">
      <xdr:nvSpPr>
        <xdr:cNvPr id="10" name="TextBox 9">
          <a:extLst>
            <a:ext uri="{FF2B5EF4-FFF2-40B4-BE49-F238E27FC236}">
              <a16:creationId xmlns:a16="http://schemas.microsoft.com/office/drawing/2014/main" id="{0E7433C0-387C-4D92-AD3C-9135C63EFCC7}"/>
            </a:ext>
          </a:extLst>
        </xdr:cNvPr>
        <xdr:cNvSpPr txBox="1"/>
      </xdr:nvSpPr>
      <xdr:spPr>
        <a:xfrm flipH="1">
          <a:off x="10008350843" y="1186014"/>
          <a:ext cx="895425" cy="3573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fld id="{5706B6DA-BC85-41A1-A736-4404552540C3}" type="TxLink">
            <a:rPr lang="en-US" sz="1800" b="1" i="0" u="none" strike="noStrike">
              <a:solidFill>
                <a:srgbClr val="13233F"/>
              </a:solidFill>
              <a:latin typeface="Calibri"/>
              <a:ea typeface="+mn-ea"/>
              <a:cs typeface="Calibri"/>
            </a:rPr>
            <a:pPr marL="0" indent="0" algn="ctr"/>
            <a:t>35</a:t>
          </a:fld>
          <a:endParaRPr lang="en-US" sz="1800" b="1" i="0" u="none" strike="noStrike">
            <a:solidFill>
              <a:srgbClr val="13233F"/>
            </a:solidFill>
            <a:latin typeface="Calibri"/>
            <a:ea typeface="+mn-ea"/>
            <a:cs typeface="Calibri"/>
          </a:endParaRPr>
        </a:p>
      </xdr:txBody>
    </xdr:sp>
    <xdr:clientData/>
  </xdr:twoCellAnchor>
  <xdr:twoCellAnchor>
    <xdr:from>
      <xdr:col>3</xdr:col>
      <xdr:colOff>178740</xdr:colOff>
      <xdr:row>0</xdr:row>
      <xdr:rowOff>45720</xdr:rowOff>
    </xdr:from>
    <xdr:to>
      <xdr:col>26</xdr:col>
      <xdr:colOff>592666</xdr:colOff>
      <xdr:row>2</xdr:row>
      <xdr:rowOff>152400</xdr:rowOff>
    </xdr:to>
    <xdr:sp macro="" textlink="">
      <xdr:nvSpPr>
        <xdr:cNvPr id="13" name="Rectangle: Rounded Corners 12">
          <a:extLst>
            <a:ext uri="{FF2B5EF4-FFF2-40B4-BE49-F238E27FC236}">
              <a16:creationId xmlns:a16="http://schemas.microsoft.com/office/drawing/2014/main" id="{5460B15D-59EC-F656-1A2A-4AD17DC736D9}"/>
            </a:ext>
          </a:extLst>
        </xdr:cNvPr>
        <xdr:cNvSpPr/>
      </xdr:nvSpPr>
      <xdr:spPr>
        <a:xfrm>
          <a:off x="10002021408" y="45720"/>
          <a:ext cx="15475186" cy="464161"/>
        </a:xfrm>
        <a:prstGeom prst="roundRect">
          <a:avLst/>
        </a:prstGeom>
        <a:solidFill>
          <a:srgbClr val="13233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18</xdr:col>
      <xdr:colOff>138858</xdr:colOff>
      <xdr:row>8</xdr:row>
      <xdr:rowOff>62422</xdr:rowOff>
    </xdr:from>
    <xdr:to>
      <xdr:col>19</xdr:col>
      <xdr:colOff>487357</xdr:colOff>
      <xdr:row>10</xdr:row>
      <xdr:rowOff>2725</xdr:rowOff>
    </xdr:to>
    <xdr:sp macro="" textlink="">
      <xdr:nvSpPr>
        <xdr:cNvPr id="18" name="TextBox 17">
          <a:extLst>
            <a:ext uri="{FF2B5EF4-FFF2-40B4-BE49-F238E27FC236}">
              <a16:creationId xmlns:a16="http://schemas.microsoft.com/office/drawing/2014/main" id="{8FE0F6FC-5EC1-4551-8582-43A6CEA0653F}"/>
            </a:ext>
          </a:extLst>
        </xdr:cNvPr>
        <xdr:cNvSpPr txBox="1"/>
      </xdr:nvSpPr>
      <xdr:spPr>
        <a:xfrm flipH="1">
          <a:off x="10006407088" y="1492348"/>
          <a:ext cx="959980" cy="2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400" b="1">
              <a:solidFill>
                <a:srgbClr val="C9A227"/>
              </a:solidFill>
              <a:latin typeface="+mn-lt"/>
              <a:ea typeface="+mn-ea"/>
              <a:cs typeface="+mn-cs"/>
            </a:rPr>
            <a:t>مطبق</a:t>
          </a:r>
          <a:r>
            <a:rPr lang="en-US" sz="1400"/>
            <a:t> </a:t>
          </a:r>
          <a:r>
            <a:rPr lang="en-US" sz="1400" b="1">
              <a:solidFill>
                <a:srgbClr val="C9A227"/>
              </a:solidFill>
              <a:latin typeface="+mn-lt"/>
              <a:ea typeface="+mn-ea"/>
              <a:cs typeface="+mn-cs"/>
            </a:rPr>
            <a:t>بالكامل</a:t>
          </a:r>
        </a:p>
      </xdr:txBody>
    </xdr:sp>
    <xdr:clientData/>
  </xdr:twoCellAnchor>
  <xdr:twoCellAnchor>
    <xdr:from>
      <xdr:col>18</xdr:col>
      <xdr:colOff>331419</xdr:colOff>
      <xdr:row>6</xdr:row>
      <xdr:rowOff>161961</xdr:rowOff>
    </xdr:from>
    <xdr:to>
      <xdr:col>19</xdr:col>
      <xdr:colOff>393357</xdr:colOff>
      <xdr:row>8</xdr:row>
      <xdr:rowOff>65040</xdr:rowOff>
    </xdr:to>
    <xdr:sp macro="" textlink="pivot!$C$27">
      <xdr:nvSpPr>
        <xdr:cNvPr id="19" name="TextBox 18">
          <a:extLst>
            <a:ext uri="{FF2B5EF4-FFF2-40B4-BE49-F238E27FC236}">
              <a16:creationId xmlns:a16="http://schemas.microsoft.com/office/drawing/2014/main" id="{AEE072CF-C2E0-4C10-85BF-C65F0E7B7BD4}"/>
            </a:ext>
          </a:extLst>
        </xdr:cNvPr>
        <xdr:cNvSpPr txBox="1"/>
      </xdr:nvSpPr>
      <xdr:spPr>
        <a:xfrm flipH="1">
          <a:off x="10006501088" y="1234405"/>
          <a:ext cx="673419" cy="2605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fld id="{563C37CD-4965-4544-8CE0-10C628B75BC7}" type="TxLink">
            <a:rPr lang="en-US" sz="1800" b="1" i="0" u="none" strike="noStrike">
              <a:solidFill>
                <a:srgbClr val="13233F"/>
              </a:solidFill>
              <a:latin typeface="Calibri"/>
              <a:ea typeface="+mn-ea"/>
              <a:cs typeface="Calibri"/>
            </a:rPr>
            <a:pPr marL="0" indent="0" algn="ctr"/>
            <a:t>7</a:t>
          </a:fld>
          <a:endParaRPr lang="en-US" sz="1800" b="1" i="0" u="none" strike="noStrike">
            <a:solidFill>
              <a:srgbClr val="13233F"/>
            </a:solidFill>
            <a:latin typeface="Calibri"/>
            <a:ea typeface="+mn-ea"/>
            <a:cs typeface="Calibri"/>
          </a:endParaRPr>
        </a:p>
      </xdr:txBody>
    </xdr:sp>
    <xdr:clientData/>
  </xdr:twoCellAnchor>
  <xdr:twoCellAnchor>
    <xdr:from>
      <xdr:col>21</xdr:col>
      <xdr:colOff>216371</xdr:colOff>
      <xdr:row>8</xdr:row>
      <xdr:rowOff>62422</xdr:rowOff>
    </xdr:from>
    <xdr:to>
      <xdr:col>22</xdr:col>
      <xdr:colOff>531178</xdr:colOff>
      <xdr:row>10</xdr:row>
      <xdr:rowOff>128426</xdr:rowOff>
    </xdr:to>
    <xdr:sp macro="" textlink="">
      <xdr:nvSpPr>
        <xdr:cNvPr id="21" name="TextBox 20">
          <a:extLst>
            <a:ext uri="{FF2B5EF4-FFF2-40B4-BE49-F238E27FC236}">
              <a16:creationId xmlns:a16="http://schemas.microsoft.com/office/drawing/2014/main" id="{8FBA7769-C7F8-4781-BEC0-88E2DF4CF0A4}"/>
            </a:ext>
          </a:extLst>
        </xdr:cNvPr>
        <xdr:cNvSpPr txBox="1"/>
      </xdr:nvSpPr>
      <xdr:spPr>
        <a:xfrm flipH="1">
          <a:off x="10004528822" y="1492348"/>
          <a:ext cx="926289" cy="4234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ar-EG" sz="1400" b="1">
              <a:solidFill>
                <a:srgbClr val="C9A227"/>
              </a:solidFill>
              <a:latin typeface="+mn-lt"/>
              <a:ea typeface="+mn-ea"/>
              <a:cs typeface="+mn-cs"/>
            </a:rPr>
            <a:t>غير مطبق</a:t>
          </a:r>
          <a:endParaRPr lang="en-US" sz="1400" b="1">
            <a:solidFill>
              <a:srgbClr val="C9A227"/>
            </a:solidFill>
            <a:latin typeface="+mn-lt"/>
            <a:ea typeface="+mn-ea"/>
            <a:cs typeface="+mn-cs"/>
          </a:endParaRPr>
        </a:p>
      </xdr:txBody>
    </xdr:sp>
    <xdr:clientData/>
  </xdr:twoCellAnchor>
  <xdr:twoCellAnchor>
    <xdr:from>
      <xdr:col>21</xdr:col>
      <xdr:colOff>216389</xdr:colOff>
      <xdr:row>6</xdr:row>
      <xdr:rowOff>106966</xdr:rowOff>
    </xdr:from>
    <xdr:to>
      <xdr:col>23</xdr:col>
      <xdr:colOff>173474</xdr:colOff>
      <xdr:row>8</xdr:row>
      <xdr:rowOff>120034</xdr:rowOff>
    </xdr:to>
    <xdr:sp macro="" textlink="pivot!$C$28">
      <xdr:nvSpPr>
        <xdr:cNvPr id="22" name="TextBox 21">
          <a:extLst>
            <a:ext uri="{FF2B5EF4-FFF2-40B4-BE49-F238E27FC236}">
              <a16:creationId xmlns:a16="http://schemas.microsoft.com/office/drawing/2014/main" id="{7EEB3E8A-AE70-4256-9E25-E41900AF75A3}"/>
            </a:ext>
          </a:extLst>
        </xdr:cNvPr>
        <xdr:cNvSpPr txBox="1"/>
      </xdr:nvSpPr>
      <xdr:spPr>
        <a:xfrm flipH="1">
          <a:off x="10004275045" y="1179410"/>
          <a:ext cx="1180048" cy="37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fld id="{117B1309-96AB-4C8B-8AB3-0887D77A17B9}" type="TxLink">
            <a:rPr lang="en-US" sz="1800" b="1" i="0" u="none" strike="noStrike">
              <a:solidFill>
                <a:srgbClr val="13233F"/>
              </a:solidFill>
              <a:latin typeface="Calibri"/>
              <a:ea typeface="+mn-ea"/>
              <a:cs typeface="Calibri"/>
            </a:rPr>
            <a:pPr marL="0" indent="0" algn="ctr"/>
            <a:t>10</a:t>
          </a:fld>
          <a:endParaRPr lang="en-US" sz="1800" b="1" i="0" u="none" strike="noStrike">
            <a:solidFill>
              <a:srgbClr val="13233F"/>
            </a:solidFill>
            <a:latin typeface="Calibri"/>
            <a:ea typeface="+mn-ea"/>
            <a:cs typeface="Calibri"/>
          </a:endParaRPr>
        </a:p>
      </xdr:txBody>
    </xdr:sp>
    <xdr:clientData/>
  </xdr:twoCellAnchor>
  <xdr:twoCellAnchor>
    <xdr:from>
      <xdr:col>23</xdr:col>
      <xdr:colOff>166759</xdr:colOff>
      <xdr:row>8</xdr:row>
      <xdr:rowOff>62422</xdr:rowOff>
    </xdr:from>
    <xdr:to>
      <xdr:col>26</xdr:col>
      <xdr:colOff>252034</xdr:colOff>
      <xdr:row>10</xdr:row>
      <xdr:rowOff>134510</xdr:rowOff>
    </xdr:to>
    <xdr:sp macro="" textlink="">
      <xdr:nvSpPr>
        <xdr:cNvPr id="41" name="TextBox 40">
          <a:extLst>
            <a:ext uri="{FF2B5EF4-FFF2-40B4-BE49-F238E27FC236}">
              <a16:creationId xmlns:a16="http://schemas.microsoft.com/office/drawing/2014/main" id="{C4462C27-5FCC-F6CE-52D0-08FE05714674}"/>
            </a:ext>
          </a:extLst>
        </xdr:cNvPr>
        <xdr:cNvSpPr txBox="1"/>
      </xdr:nvSpPr>
      <xdr:spPr>
        <a:xfrm flipH="1">
          <a:off x="10002362040" y="1492348"/>
          <a:ext cx="1919720" cy="4295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400" b="1">
              <a:solidFill>
                <a:srgbClr val="C9A227"/>
              </a:solidFill>
              <a:latin typeface="+mn-lt"/>
              <a:ea typeface="+mn-ea"/>
              <a:cs typeface="+mn-cs"/>
            </a:rPr>
            <a:t>الإجراءات المتأخرة</a:t>
          </a:r>
        </a:p>
      </xdr:txBody>
    </xdr:sp>
    <xdr:clientData/>
  </xdr:twoCellAnchor>
  <xdr:twoCellAnchor>
    <xdr:from>
      <xdr:col>24</xdr:col>
      <xdr:colOff>451823</xdr:colOff>
      <xdr:row>6</xdr:row>
      <xdr:rowOff>104304</xdr:rowOff>
    </xdr:from>
    <xdr:to>
      <xdr:col>26</xdr:col>
      <xdr:colOff>201455</xdr:colOff>
      <xdr:row>8</xdr:row>
      <xdr:rowOff>122696</xdr:rowOff>
    </xdr:to>
    <xdr:sp macro="" textlink="pivot!$C$32">
      <xdr:nvSpPr>
        <xdr:cNvPr id="42" name="TextBox 41">
          <a:extLst>
            <a:ext uri="{FF2B5EF4-FFF2-40B4-BE49-F238E27FC236}">
              <a16:creationId xmlns:a16="http://schemas.microsoft.com/office/drawing/2014/main" id="{E449F1B5-C404-2DA0-C17A-40A19D3E74AA}"/>
            </a:ext>
          </a:extLst>
        </xdr:cNvPr>
        <xdr:cNvSpPr txBox="1"/>
      </xdr:nvSpPr>
      <xdr:spPr>
        <a:xfrm flipH="1">
          <a:off x="10002412619" y="1176748"/>
          <a:ext cx="972595" cy="3758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fld id="{A3368D63-E0DB-4268-87BB-E1784A1A370B}" type="TxLink">
            <a:rPr lang="en-US" sz="1800" b="1" i="0" u="none" strike="noStrike">
              <a:solidFill>
                <a:srgbClr val="13233F"/>
              </a:solidFill>
              <a:latin typeface="Calibri"/>
              <a:ea typeface="+mn-ea"/>
              <a:cs typeface="Calibri"/>
            </a:rPr>
            <a:pPr marL="0" indent="0" algn="ctr"/>
            <a:t>4</a:t>
          </a:fld>
          <a:endParaRPr lang="en-US" sz="1800" b="1" i="0" u="none" strike="noStrike">
            <a:solidFill>
              <a:srgbClr val="13233F"/>
            </a:solidFill>
            <a:latin typeface="Calibri"/>
            <a:ea typeface="+mn-ea"/>
            <a:cs typeface="Calibri"/>
          </a:endParaRPr>
        </a:p>
      </xdr:txBody>
    </xdr:sp>
    <xdr:clientData/>
  </xdr:twoCellAnchor>
  <xdr:twoCellAnchor>
    <xdr:from>
      <xdr:col>6</xdr:col>
      <xdr:colOff>296045</xdr:colOff>
      <xdr:row>4</xdr:row>
      <xdr:rowOff>0</xdr:rowOff>
    </xdr:from>
    <xdr:to>
      <xdr:col>9</xdr:col>
      <xdr:colOff>327591</xdr:colOff>
      <xdr:row>10</xdr:row>
      <xdr:rowOff>152400</xdr:rowOff>
    </xdr:to>
    <xdr:sp macro="" textlink="">
      <xdr:nvSpPr>
        <xdr:cNvPr id="28" name="Rectangle: Rounded Corners 27">
          <a:extLst>
            <a:ext uri="{FF2B5EF4-FFF2-40B4-BE49-F238E27FC236}">
              <a16:creationId xmlns:a16="http://schemas.microsoft.com/office/drawing/2014/main" id="{0B87CCBB-E277-99DD-1ED3-FFCE63F2268B}"/>
            </a:ext>
          </a:extLst>
        </xdr:cNvPr>
        <xdr:cNvSpPr/>
      </xdr:nvSpPr>
      <xdr:spPr>
        <a:xfrm flipH="1">
          <a:off x="10013678854" y="714963"/>
          <a:ext cx="1865990" cy="1224844"/>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a:p>
      </xdr:txBody>
    </xdr:sp>
    <xdr:clientData/>
  </xdr:twoCellAnchor>
  <xdr:twoCellAnchor>
    <xdr:from>
      <xdr:col>3</xdr:col>
      <xdr:colOff>206965</xdr:colOff>
      <xdr:row>4</xdr:row>
      <xdr:rowOff>93983</xdr:rowOff>
    </xdr:from>
    <xdr:to>
      <xdr:col>6</xdr:col>
      <xdr:colOff>274698</xdr:colOff>
      <xdr:row>6</xdr:row>
      <xdr:rowOff>8375</xdr:rowOff>
    </xdr:to>
    <xdr:sp macro="" textlink="pivot!$D$28">
      <xdr:nvSpPr>
        <xdr:cNvPr id="45" name="TextBox 44">
          <a:extLst>
            <a:ext uri="{FF2B5EF4-FFF2-40B4-BE49-F238E27FC236}">
              <a16:creationId xmlns:a16="http://schemas.microsoft.com/office/drawing/2014/main" id="{61C0C372-BE30-4E1F-A87E-56A1FCCD5860}"/>
            </a:ext>
          </a:extLst>
        </xdr:cNvPr>
        <xdr:cNvSpPr txBox="1"/>
      </xdr:nvSpPr>
      <xdr:spPr>
        <a:xfrm>
          <a:off x="10015566191" y="808946"/>
          <a:ext cx="1902178" cy="271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rtl="1"/>
          <a:fld id="{E99408A5-BC41-46A2-B36B-246D873F3686}" type="TxLink">
            <a:rPr lang="en-US" sz="1000" b="1" i="0" u="none" strike="noStrike">
              <a:solidFill>
                <a:srgbClr val="000000"/>
              </a:solidFill>
              <a:latin typeface="Calibri"/>
              <a:cs typeface="Calibri"/>
            </a:rPr>
            <a:pPr algn="r" rtl="1"/>
            <a:t>7 مطبق ‏ | ‏17 جزئي ‏ | ‏10 غير مطبق</a:t>
          </a:fld>
          <a:endParaRPr lang="en-US" sz="1000" b="1">
            <a:solidFill>
              <a:srgbClr val="13233F"/>
            </a:solidFill>
          </a:endParaRPr>
        </a:p>
      </xdr:txBody>
    </xdr:sp>
    <xdr:clientData/>
  </xdr:twoCellAnchor>
  <xdr:twoCellAnchor>
    <xdr:from>
      <xdr:col>10</xdr:col>
      <xdr:colOff>75260</xdr:colOff>
      <xdr:row>8</xdr:row>
      <xdr:rowOff>62422</xdr:rowOff>
    </xdr:from>
    <xdr:to>
      <xdr:col>12</xdr:col>
      <xdr:colOff>8503</xdr:colOff>
      <xdr:row>10</xdr:row>
      <xdr:rowOff>52981</xdr:rowOff>
    </xdr:to>
    <xdr:sp macro="" textlink="">
      <xdr:nvSpPr>
        <xdr:cNvPr id="33" name="TextBox 32">
          <a:extLst>
            <a:ext uri="{FF2B5EF4-FFF2-40B4-BE49-F238E27FC236}">
              <a16:creationId xmlns:a16="http://schemas.microsoft.com/office/drawing/2014/main" id="{653CA91C-A3A1-8BE7-C54F-4F437C0D7E7A}"/>
            </a:ext>
          </a:extLst>
        </xdr:cNvPr>
        <xdr:cNvSpPr txBox="1"/>
      </xdr:nvSpPr>
      <xdr:spPr>
        <a:xfrm flipH="1">
          <a:off x="10012163497" y="1492348"/>
          <a:ext cx="1156206" cy="348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ar-EG" sz="1400" b="1">
              <a:solidFill>
                <a:srgbClr val="C9A227"/>
              </a:solidFill>
              <a:latin typeface="+mn-lt"/>
              <a:ea typeface="+mn-ea"/>
              <a:cs typeface="+mn-cs"/>
            </a:rPr>
            <a:t>الفجوات الحرجة</a:t>
          </a:r>
          <a:endParaRPr lang="en-US" sz="1400" b="1">
            <a:solidFill>
              <a:srgbClr val="C9A227"/>
            </a:solidFill>
            <a:latin typeface="+mn-lt"/>
            <a:ea typeface="+mn-ea"/>
            <a:cs typeface="+mn-cs"/>
          </a:endParaRPr>
        </a:p>
      </xdr:txBody>
    </xdr:sp>
    <xdr:clientData/>
  </xdr:twoCellAnchor>
  <xdr:twoCellAnchor>
    <xdr:from>
      <xdr:col>9</xdr:col>
      <xdr:colOff>589412</xdr:colOff>
      <xdr:row>4</xdr:row>
      <xdr:rowOff>73349</xdr:rowOff>
    </xdr:from>
    <xdr:to>
      <xdr:col>12</xdr:col>
      <xdr:colOff>358837</xdr:colOff>
      <xdr:row>6</xdr:row>
      <xdr:rowOff>29008</xdr:rowOff>
    </xdr:to>
    <xdr:sp macro="" textlink="pivot!$D$29">
      <xdr:nvSpPr>
        <xdr:cNvPr id="46" name="TextBox 45">
          <a:extLst>
            <a:ext uri="{FF2B5EF4-FFF2-40B4-BE49-F238E27FC236}">
              <a16:creationId xmlns:a16="http://schemas.microsoft.com/office/drawing/2014/main" id="{64DA2556-B945-40A0-83E3-70E7E544B9F8}"/>
            </a:ext>
          </a:extLst>
        </xdr:cNvPr>
        <xdr:cNvSpPr txBox="1"/>
      </xdr:nvSpPr>
      <xdr:spPr>
        <a:xfrm>
          <a:off x="10011813163" y="788312"/>
          <a:ext cx="1603870" cy="3131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r" rtl="1"/>
          <a:fld id="{4F14BCA9-0DDC-454F-A0EC-91AD32BCD1D3}" type="TxLink">
            <a:rPr lang="en-US" sz="1000" b="1" i="0" u="none" strike="noStrike">
              <a:solidFill>
                <a:srgbClr val="000000"/>
              </a:solidFill>
              <a:latin typeface="Calibri"/>
              <a:ea typeface="+mn-ea"/>
              <a:cs typeface="Calibri"/>
            </a:rPr>
            <a:pPr marL="0" indent="0" algn="r" rtl="1"/>
            <a:t>2 بدون دليل ‏ | ‏0 دليل جزئي</a:t>
          </a:fld>
          <a:endParaRPr lang="en-US" sz="1000" b="1" i="0" u="none" strike="noStrike">
            <a:solidFill>
              <a:srgbClr val="000000"/>
            </a:solidFill>
            <a:latin typeface="Calibri"/>
            <a:ea typeface="+mn-ea"/>
            <a:cs typeface="Calibri"/>
          </a:endParaRPr>
        </a:p>
      </xdr:txBody>
    </xdr:sp>
    <xdr:clientData/>
  </xdr:twoCellAnchor>
  <xdr:twoCellAnchor>
    <xdr:from>
      <xdr:col>6</xdr:col>
      <xdr:colOff>564782</xdr:colOff>
      <xdr:row>8</xdr:row>
      <xdr:rowOff>62422</xdr:rowOff>
    </xdr:from>
    <xdr:to>
      <xdr:col>9</xdr:col>
      <xdr:colOff>104907</xdr:colOff>
      <xdr:row>9</xdr:row>
      <xdr:rowOff>174909</xdr:rowOff>
    </xdr:to>
    <xdr:sp macro="" textlink="">
      <xdr:nvSpPr>
        <xdr:cNvPr id="37" name="TextBox 36">
          <a:extLst>
            <a:ext uri="{FF2B5EF4-FFF2-40B4-BE49-F238E27FC236}">
              <a16:creationId xmlns:a16="http://schemas.microsoft.com/office/drawing/2014/main" id="{EC557B33-383D-E4DB-E363-EC11761C540F}"/>
            </a:ext>
          </a:extLst>
        </xdr:cNvPr>
        <xdr:cNvSpPr txBox="1"/>
      </xdr:nvSpPr>
      <xdr:spPr>
        <a:xfrm flipH="1">
          <a:off x="10013901538" y="1492348"/>
          <a:ext cx="1374569" cy="2912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400" b="1">
              <a:solidFill>
                <a:srgbClr val="C9A227"/>
              </a:solidFill>
              <a:latin typeface="+mn-lt"/>
              <a:ea typeface="+mn-ea"/>
              <a:cs typeface="+mn-cs"/>
            </a:rPr>
            <a:t>الإجراءات المفتوحة</a:t>
          </a:r>
        </a:p>
      </xdr:txBody>
    </xdr:sp>
    <xdr:clientData/>
  </xdr:twoCellAnchor>
  <xdr:twoCellAnchor>
    <xdr:from>
      <xdr:col>7</xdr:col>
      <xdr:colOff>187644</xdr:colOff>
      <xdr:row>6</xdr:row>
      <xdr:rowOff>124083</xdr:rowOff>
    </xdr:from>
    <xdr:to>
      <xdr:col>8</xdr:col>
      <xdr:colOff>482045</xdr:colOff>
      <xdr:row>8</xdr:row>
      <xdr:rowOff>102918</xdr:rowOff>
    </xdr:to>
    <xdr:sp macro="" textlink="pivot!$C$31">
      <xdr:nvSpPr>
        <xdr:cNvPr id="38" name="TextBox 37">
          <a:extLst>
            <a:ext uri="{FF2B5EF4-FFF2-40B4-BE49-F238E27FC236}">
              <a16:creationId xmlns:a16="http://schemas.microsoft.com/office/drawing/2014/main" id="{908FC0FC-F0D6-1331-643C-76817D920608}"/>
            </a:ext>
          </a:extLst>
        </xdr:cNvPr>
        <xdr:cNvSpPr txBox="1"/>
      </xdr:nvSpPr>
      <xdr:spPr>
        <a:xfrm flipH="1">
          <a:off x="10014135881" y="1196527"/>
          <a:ext cx="905883" cy="336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fld id="{E4E21658-C6D5-4A2C-871C-E7B41D49FF94}" type="TxLink">
            <a:rPr lang="en-US" sz="1800" b="1" i="0" u="none" strike="noStrike">
              <a:solidFill>
                <a:srgbClr val="13233F"/>
              </a:solidFill>
              <a:latin typeface="Calibri"/>
              <a:ea typeface="+mn-ea"/>
              <a:cs typeface="Calibri"/>
            </a:rPr>
            <a:pPr marL="0" indent="0" algn="ctr"/>
            <a:t>20</a:t>
          </a:fld>
          <a:endParaRPr lang="en-US" sz="1800" b="1" i="0" u="none" strike="noStrike">
            <a:solidFill>
              <a:srgbClr val="13233F"/>
            </a:solidFill>
            <a:latin typeface="Calibri"/>
            <a:ea typeface="+mn-ea"/>
            <a:cs typeface="Calibri"/>
          </a:endParaRPr>
        </a:p>
      </xdr:txBody>
    </xdr:sp>
    <xdr:clientData/>
  </xdr:twoCellAnchor>
  <xdr:twoCellAnchor>
    <xdr:from>
      <xdr:col>6</xdr:col>
      <xdr:colOff>459441</xdr:colOff>
      <xdr:row>4</xdr:row>
      <xdr:rowOff>115237</xdr:rowOff>
    </xdr:from>
    <xdr:to>
      <xdr:col>9</xdr:col>
      <xdr:colOff>210249</xdr:colOff>
      <xdr:row>5</xdr:row>
      <xdr:rowOff>165860</xdr:rowOff>
    </xdr:to>
    <xdr:sp macro="" textlink="pivot!$D$30">
      <xdr:nvSpPr>
        <xdr:cNvPr id="47" name="TextBox 46">
          <a:extLst>
            <a:ext uri="{FF2B5EF4-FFF2-40B4-BE49-F238E27FC236}">
              <a16:creationId xmlns:a16="http://schemas.microsoft.com/office/drawing/2014/main" id="{A893B451-03CC-49FB-AB6F-8C27C47B9751}"/>
            </a:ext>
          </a:extLst>
        </xdr:cNvPr>
        <xdr:cNvSpPr txBox="1"/>
      </xdr:nvSpPr>
      <xdr:spPr>
        <a:xfrm>
          <a:off x="10013796196" y="830200"/>
          <a:ext cx="1585252" cy="229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r" rtl="1"/>
          <a:fld id="{50DCC033-B545-4F78-82E8-973536FE69F2}" type="TxLink">
            <a:rPr lang="en-US" sz="1000" b="1" i="0" u="none" strike="noStrike">
              <a:solidFill>
                <a:srgbClr val="000000"/>
              </a:solidFill>
              <a:latin typeface="Calibri"/>
              <a:ea typeface="+mn-ea"/>
              <a:cs typeface="Calibri"/>
            </a:rPr>
            <a:pPr marL="0" indent="0" algn="r" rtl="1"/>
            <a:t>10 قيد التنفيذ ‏ | ‏10 لم يبدأ</a:t>
          </a:fld>
          <a:endParaRPr lang="en-US" sz="1000" b="1" i="0" u="none" strike="noStrike">
            <a:solidFill>
              <a:srgbClr val="000000"/>
            </a:solidFill>
            <a:latin typeface="Calibri"/>
            <a:ea typeface="+mn-ea"/>
            <a:cs typeface="Calibri"/>
          </a:endParaRPr>
        </a:p>
      </xdr:txBody>
    </xdr:sp>
    <xdr:clientData/>
  </xdr:twoCellAnchor>
  <xdr:twoCellAnchor>
    <xdr:from>
      <xdr:col>9</xdr:col>
      <xdr:colOff>407801</xdr:colOff>
      <xdr:row>4</xdr:row>
      <xdr:rowOff>0</xdr:rowOff>
    </xdr:from>
    <xdr:to>
      <xdr:col>12</xdr:col>
      <xdr:colOff>439347</xdr:colOff>
      <xdr:row>10</xdr:row>
      <xdr:rowOff>152400</xdr:rowOff>
    </xdr:to>
    <xdr:sp macro="" textlink="">
      <xdr:nvSpPr>
        <xdr:cNvPr id="55" name="Rectangle: Rounded Corners 54">
          <a:extLst>
            <a:ext uri="{FF2B5EF4-FFF2-40B4-BE49-F238E27FC236}">
              <a16:creationId xmlns:a16="http://schemas.microsoft.com/office/drawing/2014/main" id="{C1F7FFA2-5E4F-4078-EEBA-FD8BE0D1C3CD}"/>
            </a:ext>
          </a:extLst>
        </xdr:cNvPr>
        <xdr:cNvSpPr/>
      </xdr:nvSpPr>
      <xdr:spPr>
        <a:xfrm flipH="1">
          <a:off x="10011732653" y="714963"/>
          <a:ext cx="1865991" cy="1224844"/>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a:p>
      </xdr:txBody>
    </xdr:sp>
    <xdr:clientData/>
  </xdr:twoCellAnchor>
  <xdr:twoCellAnchor>
    <xdr:from>
      <xdr:col>12</xdr:col>
      <xdr:colOff>510150</xdr:colOff>
      <xdr:row>4</xdr:row>
      <xdr:rowOff>0</xdr:rowOff>
    </xdr:from>
    <xdr:to>
      <xdr:col>15</xdr:col>
      <xdr:colOff>541696</xdr:colOff>
      <xdr:row>10</xdr:row>
      <xdr:rowOff>152400</xdr:rowOff>
    </xdr:to>
    <xdr:sp macro="" textlink="">
      <xdr:nvSpPr>
        <xdr:cNvPr id="60" name="Rectangle: Rounded Corners 59">
          <a:extLst>
            <a:ext uri="{FF2B5EF4-FFF2-40B4-BE49-F238E27FC236}">
              <a16:creationId xmlns:a16="http://schemas.microsoft.com/office/drawing/2014/main" id="{E69D4772-B250-D905-513A-28E7BC6E53F5}"/>
            </a:ext>
          </a:extLst>
        </xdr:cNvPr>
        <xdr:cNvSpPr/>
      </xdr:nvSpPr>
      <xdr:spPr>
        <a:xfrm flipH="1">
          <a:off x="10009795860" y="714963"/>
          <a:ext cx="1865990" cy="1224844"/>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a:p>
      </xdr:txBody>
    </xdr:sp>
    <xdr:clientData/>
  </xdr:twoCellAnchor>
  <xdr:twoCellAnchor>
    <xdr:from>
      <xdr:col>13</xdr:col>
      <xdr:colOff>178741</xdr:colOff>
      <xdr:row>8</xdr:row>
      <xdr:rowOff>62422</xdr:rowOff>
    </xdr:from>
    <xdr:to>
      <xdr:col>15</xdr:col>
      <xdr:colOff>144950</xdr:colOff>
      <xdr:row>10</xdr:row>
      <xdr:rowOff>120142</xdr:rowOff>
    </xdr:to>
    <xdr:sp macro="" textlink="">
      <xdr:nvSpPr>
        <xdr:cNvPr id="61" name="TextBox 60">
          <a:extLst>
            <a:ext uri="{FF2B5EF4-FFF2-40B4-BE49-F238E27FC236}">
              <a16:creationId xmlns:a16="http://schemas.microsoft.com/office/drawing/2014/main" id="{37E8A253-CE5C-BC12-ADB4-BD914F0BABC3}"/>
            </a:ext>
          </a:extLst>
        </xdr:cNvPr>
        <xdr:cNvSpPr txBox="1"/>
      </xdr:nvSpPr>
      <xdr:spPr>
        <a:xfrm flipH="1">
          <a:off x="10010192606" y="1492348"/>
          <a:ext cx="1189172" cy="415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400" b="1">
              <a:solidFill>
                <a:srgbClr val="C9A227"/>
              </a:solidFill>
              <a:latin typeface="+mn-lt"/>
              <a:ea typeface="+mn-ea"/>
              <a:cs typeface="+mn-cs"/>
            </a:rPr>
            <a:t>جاهزية الأدلة %</a:t>
          </a:r>
        </a:p>
      </xdr:txBody>
    </xdr:sp>
    <xdr:clientData/>
  </xdr:twoCellAnchor>
  <xdr:twoCellAnchor>
    <xdr:from>
      <xdr:col>13</xdr:col>
      <xdr:colOff>384420</xdr:colOff>
      <xdr:row>6</xdr:row>
      <xdr:rowOff>110590</xdr:rowOff>
    </xdr:from>
    <xdr:to>
      <xdr:col>15</xdr:col>
      <xdr:colOff>706</xdr:colOff>
      <xdr:row>8</xdr:row>
      <xdr:rowOff>116410</xdr:rowOff>
    </xdr:to>
    <xdr:sp macro="" textlink="pivot!$C$29">
      <xdr:nvSpPr>
        <xdr:cNvPr id="62" name="TextBox 61">
          <a:extLst>
            <a:ext uri="{FF2B5EF4-FFF2-40B4-BE49-F238E27FC236}">
              <a16:creationId xmlns:a16="http://schemas.microsoft.com/office/drawing/2014/main" id="{5515193B-78B6-A01F-CCBE-49A925F03A59}"/>
            </a:ext>
          </a:extLst>
        </xdr:cNvPr>
        <xdr:cNvSpPr txBox="1"/>
      </xdr:nvSpPr>
      <xdr:spPr>
        <a:xfrm flipH="1">
          <a:off x="10010336850" y="1183034"/>
          <a:ext cx="839249" cy="3633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fld id="{2869B402-BDF9-4989-80E1-FE7C51BC8DFA}" type="TxLink">
            <a:rPr lang="en-US" sz="1800" b="1" i="0" u="none" strike="noStrike">
              <a:solidFill>
                <a:srgbClr val="13233F"/>
              </a:solidFill>
              <a:latin typeface="Calibri"/>
              <a:ea typeface="+mn-ea"/>
              <a:cs typeface="Calibri"/>
            </a:rPr>
            <a:pPr marL="0" indent="0" algn="ctr"/>
            <a:t>48.53%</a:t>
          </a:fld>
          <a:endParaRPr lang="en-US" sz="1800" b="1" i="0" u="none" strike="noStrike">
            <a:solidFill>
              <a:srgbClr val="13233F"/>
            </a:solidFill>
            <a:latin typeface="Calibri"/>
            <a:ea typeface="+mn-ea"/>
            <a:cs typeface="Calibri"/>
          </a:endParaRPr>
        </a:p>
      </xdr:txBody>
    </xdr:sp>
    <xdr:clientData/>
  </xdr:twoCellAnchor>
  <xdr:twoCellAnchor>
    <xdr:from>
      <xdr:col>12</xdr:col>
      <xdr:colOff>479775</xdr:colOff>
      <xdr:row>4</xdr:row>
      <xdr:rowOff>109723</xdr:rowOff>
    </xdr:from>
    <xdr:to>
      <xdr:col>15</xdr:col>
      <xdr:colOff>516833</xdr:colOff>
      <xdr:row>5</xdr:row>
      <xdr:rowOff>171374</xdr:rowOff>
    </xdr:to>
    <xdr:sp macro="" textlink="pivot!$D$27">
      <xdr:nvSpPr>
        <xdr:cNvPr id="63" name="TextBox 62">
          <a:extLst>
            <a:ext uri="{FF2B5EF4-FFF2-40B4-BE49-F238E27FC236}">
              <a16:creationId xmlns:a16="http://schemas.microsoft.com/office/drawing/2014/main" id="{541CD0CD-1759-1CED-27B3-EE214D379AEC}"/>
            </a:ext>
          </a:extLst>
        </xdr:cNvPr>
        <xdr:cNvSpPr txBox="1"/>
      </xdr:nvSpPr>
      <xdr:spPr>
        <a:xfrm>
          <a:off x="10009820723" y="824686"/>
          <a:ext cx="1871502" cy="240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rtl="1"/>
          <a:fld id="{B4D21204-D6CD-4D17-AB1B-1720898D04EC}" type="TxLink">
            <a:rPr lang="en-US" sz="1000" b="1" i="0" u="none" strike="noStrike">
              <a:solidFill>
                <a:srgbClr val="13233F"/>
              </a:solidFill>
              <a:latin typeface="Calibri"/>
              <a:cs typeface="Calibri"/>
            </a:rPr>
            <a:pPr algn="r" rtl="1"/>
            <a:t>10 متوفر ‏ | ‏13 جزئي ‏ | ‏11 غير متوفر</a:t>
          </a:fld>
          <a:endParaRPr lang="en-US" sz="1000" b="1">
            <a:solidFill>
              <a:srgbClr val="13233F"/>
            </a:solidFill>
          </a:endParaRPr>
        </a:p>
      </xdr:txBody>
    </xdr:sp>
    <xdr:clientData/>
  </xdr:twoCellAnchor>
  <xdr:twoCellAnchor>
    <xdr:from>
      <xdr:col>15</xdr:col>
      <xdr:colOff>615272</xdr:colOff>
      <xdr:row>4</xdr:row>
      <xdr:rowOff>0</xdr:rowOff>
    </xdr:from>
    <xdr:to>
      <xdr:col>17</xdr:col>
      <xdr:colOff>291631</xdr:colOff>
      <xdr:row>10</xdr:row>
      <xdr:rowOff>152400</xdr:rowOff>
    </xdr:to>
    <xdr:sp macro="" textlink="">
      <xdr:nvSpPr>
        <xdr:cNvPr id="65" name="Rectangle: Rounded Corners 64">
          <a:extLst>
            <a:ext uri="{FF2B5EF4-FFF2-40B4-BE49-F238E27FC236}">
              <a16:creationId xmlns:a16="http://schemas.microsoft.com/office/drawing/2014/main" id="{C8E70CEE-8738-854C-CCFD-2457CD793190}"/>
            </a:ext>
          </a:extLst>
        </xdr:cNvPr>
        <xdr:cNvSpPr/>
      </xdr:nvSpPr>
      <xdr:spPr>
        <a:xfrm flipH="1">
          <a:off x="10007825777" y="714963"/>
          <a:ext cx="1896507" cy="1224844"/>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a:p>
      </xdr:txBody>
    </xdr:sp>
    <xdr:clientData/>
  </xdr:twoCellAnchor>
  <xdr:twoCellAnchor>
    <xdr:from>
      <xdr:col>17</xdr:col>
      <xdr:colOff>350037</xdr:colOff>
      <xdr:row>4</xdr:row>
      <xdr:rowOff>0</xdr:rowOff>
    </xdr:from>
    <xdr:to>
      <xdr:col>20</xdr:col>
      <xdr:colOff>381583</xdr:colOff>
      <xdr:row>10</xdr:row>
      <xdr:rowOff>152400</xdr:rowOff>
    </xdr:to>
    <xdr:sp macro="" textlink="">
      <xdr:nvSpPr>
        <xdr:cNvPr id="70" name="Rectangle: Rounded Corners 69">
          <a:extLst>
            <a:ext uri="{FF2B5EF4-FFF2-40B4-BE49-F238E27FC236}">
              <a16:creationId xmlns:a16="http://schemas.microsoft.com/office/drawing/2014/main" id="{4EC22A80-69C1-C4F1-3E8E-1122FC7D2984}"/>
            </a:ext>
          </a:extLst>
        </xdr:cNvPr>
        <xdr:cNvSpPr/>
      </xdr:nvSpPr>
      <xdr:spPr>
        <a:xfrm flipH="1">
          <a:off x="10005901380" y="714963"/>
          <a:ext cx="1865991" cy="1224844"/>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a:p>
      </xdr:txBody>
    </xdr:sp>
    <xdr:clientData/>
  </xdr:twoCellAnchor>
  <xdr:twoCellAnchor>
    <xdr:from>
      <xdr:col>20</xdr:col>
      <xdr:colOff>467308</xdr:colOff>
      <xdr:row>4</xdr:row>
      <xdr:rowOff>0</xdr:rowOff>
    </xdr:from>
    <xdr:to>
      <xdr:col>23</xdr:col>
      <xdr:colOff>498854</xdr:colOff>
      <xdr:row>10</xdr:row>
      <xdr:rowOff>152400</xdr:rowOff>
    </xdr:to>
    <xdr:sp macro="" textlink="">
      <xdr:nvSpPr>
        <xdr:cNvPr id="75" name="Rectangle: Rounded Corners 74">
          <a:extLst>
            <a:ext uri="{FF2B5EF4-FFF2-40B4-BE49-F238E27FC236}">
              <a16:creationId xmlns:a16="http://schemas.microsoft.com/office/drawing/2014/main" id="{3032ADCC-D630-6339-EFF3-C687795486C7}"/>
            </a:ext>
          </a:extLst>
        </xdr:cNvPr>
        <xdr:cNvSpPr/>
      </xdr:nvSpPr>
      <xdr:spPr>
        <a:xfrm flipH="1">
          <a:off x="10003949665" y="714963"/>
          <a:ext cx="1865990" cy="1224844"/>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a:p>
      </xdr:txBody>
    </xdr:sp>
    <xdr:clientData/>
  </xdr:twoCellAnchor>
  <xdr:twoCellAnchor>
    <xdr:from>
      <xdr:col>23</xdr:col>
      <xdr:colOff>565529</xdr:colOff>
      <xdr:row>4</xdr:row>
      <xdr:rowOff>0</xdr:rowOff>
    </xdr:from>
    <xdr:to>
      <xdr:col>26</xdr:col>
      <xdr:colOff>597075</xdr:colOff>
      <xdr:row>10</xdr:row>
      <xdr:rowOff>152400</xdr:rowOff>
    </xdr:to>
    <xdr:sp macro="" textlink="">
      <xdr:nvSpPr>
        <xdr:cNvPr id="80" name="Rectangle: Rounded Corners 79">
          <a:extLst>
            <a:ext uri="{FF2B5EF4-FFF2-40B4-BE49-F238E27FC236}">
              <a16:creationId xmlns:a16="http://schemas.microsoft.com/office/drawing/2014/main" id="{EA79FE4E-9BB9-74BF-DCAF-9B5032A4BAED}"/>
            </a:ext>
          </a:extLst>
        </xdr:cNvPr>
        <xdr:cNvSpPr/>
      </xdr:nvSpPr>
      <xdr:spPr>
        <a:xfrm flipH="1">
          <a:off x="10002016999" y="714963"/>
          <a:ext cx="1865991" cy="1224844"/>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a:p>
      </xdr:txBody>
    </xdr:sp>
    <xdr:clientData/>
  </xdr:twoCellAnchor>
  <xdr:twoCellAnchor>
    <xdr:from>
      <xdr:col>3</xdr:col>
      <xdr:colOff>131704</xdr:colOff>
      <xdr:row>11</xdr:row>
      <xdr:rowOff>75267</xdr:rowOff>
    </xdr:from>
    <xdr:to>
      <xdr:col>11</xdr:col>
      <xdr:colOff>564445</xdr:colOff>
      <xdr:row>25</xdr:row>
      <xdr:rowOff>122303</xdr:rowOff>
    </xdr:to>
    <xdr:graphicFrame macro="">
      <xdr:nvGraphicFramePr>
        <xdr:cNvPr id="84" name="Chart 83">
          <a:extLst>
            <a:ext uri="{FF2B5EF4-FFF2-40B4-BE49-F238E27FC236}">
              <a16:creationId xmlns:a16="http://schemas.microsoft.com/office/drawing/2014/main" id="{72D15FAE-7A83-4C67-AB60-0AE97B54C4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141108</xdr:colOff>
      <xdr:row>11</xdr:row>
      <xdr:rowOff>75264</xdr:rowOff>
    </xdr:from>
    <xdr:to>
      <xdr:col>18</xdr:col>
      <xdr:colOff>357479</xdr:colOff>
      <xdr:row>25</xdr:row>
      <xdr:rowOff>131708</xdr:rowOff>
    </xdr:to>
    <xdr:graphicFrame macro="">
      <xdr:nvGraphicFramePr>
        <xdr:cNvPr id="85" name="Chart 84">
          <a:extLst>
            <a:ext uri="{FF2B5EF4-FFF2-40B4-BE49-F238E27FC236}">
              <a16:creationId xmlns:a16="http://schemas.microsoft.com/office/drawing/2014/main" id="{8BF19F35-EC8D-45BD-8489-1CFD635BFC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555039</xdr:colOff>
      <xdr:row>11</xdr:row>
      <xdr:rowOff>65856</xdr:rowOff>
    </xdr:from>
    <xdr:to>
      <xdr:col>26</xdr:col>
      <xdr:colOff>555038</xdr:colOff>
      <xdr:row>26</xdr:row>
      <xdr:rowOff>9412</xdr:rowOff>
    </xdr:to>
    <xdr:graphicFrame macro="">
      <xdr:nvGraphicFramePr>
        <xdr:cNvPr id="86" name="Chart 85">
          <a:extLst>
            <a:ext uri="{FF2B5EF4-FFF2-40B4-BE49-F238E27FC236}">
              <a16:creationId xmlns:a16="http://schemas.microsoft.com/office/drawing/2014/main" id="{6404EE4C-1F0A-48EF-8587-AE47203E7E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159928</xdr:colOff>
      <xdr:row>26</xdr:row>
      <xdr:rowOff>65857</xdr:rowOff>
    </xdr:from>
    <xdr:to>
      <xdr:col>11</xdr:col>
      <xdr:colOff>555035</xdr:colOff>
      <xdr:row>41</xdr:row>
      <xdr:rowOff>127946</xdr:rowOff>
    </xdr:to>
    <xdr:graphicFrame macro="">
      <xdr:nvGraphicFramePr>
        <xdr:cNvPr id="87" name="Chart 86">
          <a:extLst>
            <a:ext uri="{FF2B5EF4-FFF2-40B4-BE49-F238E27FC236}">
              <a16:creationId xmlns:a16="http://schemas.microsoft.com/office/drawing/2014/main" id="{5D424797-A155-4338-B873-6422CC5A41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150517</xdr:colOff>
      <xdr:row>26</xdr:row>
      <xdr:rowOff>65854</xdr:rowOff>
    </xdr:from>
    <xdr:to>
      <xdr:col>18</xdr:col>
      <xdr:colOff>357482</xdr:colOff>
      <xdr:row>41</xdr:row>
      <xdr:rowOff>150521</xdr:rowOff>
    </xdr:to>
    <xdr:graphicFrame macro="">
      <xdr:nvGraphicFramePr>
        <xdr:cNvPr id="88" name="Chart 87">
          <a:extLst>
            <a:ext uri="{FF2B5EF4-FFF2-40B4-BE49-F238E27FC236}">
              <a16:creationId xmlns:a16="http://schemas.microsoft.com/office/drawing/2014/main" id="{392BE56B-4A0E-4C17-8BB4-00B6D9BD1B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xdr:col>
      <xdr:colOff>526815</xdr:colOff>
      <xdr:row>26</xdr:row>
      <xdr:rowOff>103482</xdr:rowOff>
    </xdr:from>
    <xdr:to>
      <xdr:col>26</xdr:col>
      <xdr:colOff>545629</xdr:colOff>
      <xdr:row>41</xdr:row>
      <xdr:rowOff>165571</xdr:rowOff>
    </xdr:to>
    <xdr:graphicFrame macro="">
      <xdr:nvGraphicFramePr>
        <xdr:cNvPr id="89" name="Chart 88">
          <a:extLst>
            <a:ext uri="{FF2B5EF4-FFF2-40B4-BE49-F238E27FC236}">
              <a16:creationId xmlns:a16="http://schemas.microsoft.com/office/drawing/2014/main" id="{020EA26A-118D-495E-A634-85603E7104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197556</xdr:colOff>
      <xdr:row>0</xdr:row>
      <xdr:rowOff>84666</xdr:rowOff>
    </xdr:from>
    <xdr:to>
      <xdr:col>26</xdr:col>
      <xdr:colOff>583258</xdr:colOff>
      <xdr:row>2</xdr:row>
      <xdr:rowOff>75259</xdr:rowOff>
    </xdr:to>
    <xdr:sp macro="" textlink="">
      <xdr:nvSpPr>
        <xdr:cNvPr id="90" name="TextBox 89">
          <a:extLst>
            <a:ext uri="{FF2B5EF4-FFF2-40B4-BE49-F238E27FC236}">
              <a16:creationId xmlns:a16="http://schemas.microsoft.com/office/drawing/2014/main" id="{4C41884C-C7AD-C1A0-D92B-91598CC11695}"/>
            </a:ext>
          </a:extLst>
        </xdr:cNvPr>
        <xdr:cNvSpPr txBox="1"/>
      </xdr:nvSpPr>
      <xdr:spPr>
        <a:xfrm>
          <a:off x="10002030816" y="84666"/>
          <a:ext cx="15446962" cy="3480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ar-EG" sz="2000" b="1">
              <a:solidFill>
                <a:srgbClr val="C9A227"/>
              </a:solidFill>
              <a:cs typeface="+mn-cs"/>
            </a:rPr>
            <a:t>لوحة مؤشرات الجاهزية والامتثال</a:t>
          </a:r>
          <a:r>
            <a:rPr lang="ar-EG" sz="2000" b="1" baseline="0">
              <a:solidFill>
                <a:srgbClr val="C9A227"/>
              </a:solidFill>
              <a:cs typeface="+mn-cs"/>
            </a:rPr>
            <a:t> للمواصفة الدولية </a:t>
          </a:r>
          <a:r>
            <a:rPr lang="en-US" sz="2000" b="1" baseline="0">
              <a:solidFill>
                <a:srgbClr val="C9A227"/>
              </a:solidFill>
              <a:cs typeface="+mn-cs"/>
            </a:rPr>
            <a:t>ISO/IEC 17020:2026</a:t>
          </a:r>
          <a:endParaRPr lang="en-US" sz="2000" b="1">
            <a:solidFill>
              <a:srgbClr val="C9A227"/>
            </a:solidFill>
            <a:cs typeface="+mn-cs"/>
          </a:endParaRPr>
        </a:p>
      </xdr:txBody>
    </xdr:sp>
    <xdr:clientData/>
  </xdr:twoCellAnchor>
  <xdr:oneCellAnchor>
    <xdr:from>
      <xdr:col>0</xdr:col>
      <xdr:colOff>310443</xdr:colOff>
      <xdr:row>0</xdr:row>
      <xdr:rowOff>0</xdr:rowOff>
    </xdr:from>
    <xdr:ext cx="1392296" cy="714962"/>
    <xdr:pic>
      <xdr:nvPicPr>
        <xdr:cNvPr id="91" name="Image 1" descr="Picture">
          <a:extLst>
            <a:ext uri="{FF2B5EF4-FFF2-40B4-BE49-F238E27FC236}">
              <a16:creationId xmlns:a16="http://schemas.microsoft.com/office/drawing/2014/main" id="{45C7D1C2-1077-4450-A9AA-5DC7B3B81BAE}"/>
            </a:ext>
          </a:extLst>
        </xdr:cNvPr>
        <xdr:cNvPicPr/>
      </xdr:nvPicPr>
      <xdr:blipFill>
        <a:blip xmlns:r="http://schemas.openxmlformats.org/officeDocument/2006/relationships" r:embed="rId7" cstate="print"/>
        <a:stretch>
          <a:fillRect/>
        </a:stretch>
      </xdr:blipFill>
      <xdr:spPr>
        <a:xfrm>
          <a:off x="10017807039" y="0"/>
          <a:ext cx="1392296" cy="714962"/>
        </a:xfrm>
        <a:prstGeom prst="rect">
          <a:avLst/>
        </a:prstGeom>
      </xdr:spPr>
    </xdr:pic>
    <xdr:clientData/>
  </xdr:oneCellAnchor>
  <xdr:twoCellAnchor editAs="oneCell">
    <xdr:from>
      <xdr:col>0</xdr:col>
      <xdr:colOff>82409</xdr:colOff>
      <xdr:row>4</xdr:row>
      <xdr:rowOff>169332</xdr:rowOff>
    </xdr:from>
    <xdr:to>
      <xdr:col>2</xdr:col>
      <xdr:colOff>583258</xdr:colOff>
      <xdr:row>8</xdr:row>
      <xdr:rowOff>175603</xdr:rowOff>
    </xdr:to>
    <mc:AlternateContent xmlns:mc="http://schemas.openxmlformats.org/markup-compatibility/2006" xmlns:a14="http://schemas.microsoft.com/office/drawing/2010/main">
      <mc:Choice Requires="a14">
        <xdr:graphicFrame macro="">
          <xdr:nvGraphicFramePr>
            <xdr:cNvPr id="94" name="الحالة الحالية">
              <a:extLst>
                <a:ext uri="{FF2B5EF4-FFF2-40B4-BE49-F238E27FC236}">
                  <a16:creationId xmlns:a16="http://schemas.microsoft.com/office/drawing/2014/main" id="{52B894D8-50D2-4385-90E4-3ABB90E41A76}"/>
                </a:ext>
              </a:extLst>
            </xdr:cNvPr>
            <xdr:cNvGraphicFramePr/>
          </xdr:nvGraphicFramePr>
          <xdr:xfrm>
            <a:off x="0" y="0"/>
            <a:ext cx="0" cy="0"/>
          </xdr:xfrm>
          <a:graphic>
            <a:graphicData uri="http://schemas.microsoft.com/office/drawing/2010/slicer">
              <sle:slicer xmlns:sle="http://schemas.microsoft.com/office/drawing/2010/slicer" name="الحالة الحالية"/>
            </a:graphicData>
          </a:graphic>
        </xdr:graphicFrame>
      </mc:Choice>
      <mc:Fallback xmlns="">
        <xdr:sp macro="" textlink="">
          <xdr:nvSpPr>
            <xdr:cNvPr id="0" name=""/>
            <xdr:cNvSpPr>
              <a:spLocks noTextEdit="1"/>
            </xdr:cNvSpPr>
          </xdr:nvSpPr>
          <xdr:spPr>
            <a:xfrm>
              <a:off x="10017703557" y="884295"/>
              <a:ext cx="1723812" cy="83725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75259</xdr:colOff>
      <xdr:row>9</xdr:row>
      <xdr:rowOff>150518</xdr:rowOff>
    </xdr:from>
    <xdr:to>
      <xdr:col>2</xdr:col>
      <xdr:colOff>592668</xdr:colOff>
      <xdr:row>14</xdr:row>
      <xdr:rowOff>150517</xdr:rowOff>
    </xdr:to>
    <mc:AlternateContent xmlns:mc="http://schemas.openxmlformats.org/markup-compatibility/2006" xmlns:a14="http://schemas.microsoft.com/office/drawing/2010/main">
      <mc:Choice Requires="a14">
        <xdr:graphicFrame macro="">
          <xdr:nvGraphicFramePr>
            <xdr:cNvPr id="3" name="المحور">
              <a:extLst>
                <a:ext uri="{FF2B5EF4-FFF2-40B4-BE49-F238E27FC236}">
                  <a16:creationId xmlns:a16="http://schemas.microsoft.com/office/drawing/2014/main" id="{82FC5B36-2D03-96DB-E6BE-79A3F3411F10}"/>
                </a:ext>
              </a:extLst>
            </xdr:cNvPr>
            <xdr:cNvGraphicFramePr/>
          </xdr:nvGraphicFramePr>
          <xdr:xfrm>
            <a:off x="0" y="0"/>
            <a:ext cx="0" cy="0"/>
          </xdr:xfrm>
          <a:graphic>
            <a:graphicData uri="http://schemas.microsoft.com/office/drawing/2010/slicer">
              <sle:slicer xmlns:sle="http://schemas.microsoft.com/office/drawing/2010/slicer" name="المحور"/>
            </a:graphicData>
          </a:graphic>
        </xdr:graphicFrame>
      </mc:Choice>
      <mc:Fallback xmlns="">
        <xdr:sp macro="" textlink="">
          <xdr:nvSpPr>
            <xdr:cNvPr id="0" name=""/>
            <xdr:cNvSpPr>
              <a:spLocks noTextEdit="1"/>
            </xdr:cNvSpPr>
          </xdr:nvSpPr>
          <xdr:spPr>
            <a:xfrm>
              <a:off x="10017694147" y="1759185"/>
              <a:ext cx="1740372" cy="893703"/>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28223</xdr:colOff>
      <xdr:row>15</xdr:row>
      <xdr:rowOff>37628</xdr:rowOff>
    </xdr:from>
    <xdr:to>
      <xdr:col>3</xdr:col>
      <xdr:colOff>22579</xdr:colOff>
      <xdr:row>20</xdr:row>
      <xdr:rowOff>37628</xdr:rowOff>
    </xdr:to>
    <mc:AlternateContent xmlns:mc="http://schemas.openxmlformats.org/markup-compatibility/2006" xmlns:a14="http://schemas.microsoft.com/office/drawing/2010/main">
      <mc:Choice Requires="a14">
        <xdr:graphicFrame macro="">
          <xdr:nvGraphicFramePr>
            <xdr:cNvPr id="11" name="درجة الفجوة">
              <a:extLst>
                <a:ext uri="{FF2B5EF4-FFF2-40B4-BE49-F238E27FC236}">
                  <a16:creationId xmlns:a16="http://schemas.microsoft.com/office/drawing/2014/main" id="{10D34C52-38CB-C3AD-D221-CE1DBA0C2204}"/>
                </a:ext>
              </a:extLst>
            </xdr:cNvPr>
            <xdr:cNvGraphicFramePr/>
          </xdr:nvGraphicFramePr>
          <xdr:xfrm>
            <a:off x="0" y="0"/>
            <a:ext cx="0" cy="0"/>
          </xdr:xfrm>
          <a:graphic>
            <a:graphicData uri="http://schemas.microsoft.com/office/drawing/2010/slicer">
              <sle:slicer xmlns:sle="http://schemas.microsoft.com/office/drawing/2010/slicer" name="درجة الفجوة"/>
            </a:graphicData>
          </a:graphic>
        </xdr:graphicFrame>
      </mc:Choice>
      <mc:Fallback xmlns="">
        <xdr:sp macro="" textlink="">
          <xdr:nvSpPr>
            <xdr:cNvPr id="0" name=""/>
            <xdr:cNvSpPr>
              <a:spLocks noTextEdit="1"/>
            </xdr:cNvSpPr>
          </xdr:nvSpPr>
          <xdr:spPr>
            <a:xfrm>
              <a:off x="10017652755" y="2718739"/>
              <a:ext cx="1828800" cy="89370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56444</xdr:colOff>
      <xdr:row>20</xdr:row>
      <xdr:rowOff>75256</xdr:rowOff>
    </xdr:from>
    <xdr:to>
      <xdr:col>3</xdr:col>
      <xdr:colOff>50800</xdr:colOff>
      <xdr:row>25</xdr:row>
      <xdr:rowOff>75255</xdr:rowOff>
    </xdr:to>
    <mc:AlternateContent xmlns:mc="http://schemas.openxmlformats.org/markup-compatibility/2006" xmlns:a14="http://schemas.microsoft.com/office/drawing/2010/main">
      <mc:Choice Requires="a14">
        <xdr:graphicFrame macro="">
          <xdr:nvGraphicFramePr>
            <xdr:cNvPr id="4" name="الأولوية">
              <a:extLst>
                <a:ext uri="{FF2B5EF4-FFF2-40B4-BE49-F238E27FC236}">
                  <a16:creationId xmlns:a16="http://schemas.microsoft.com/office/drawing/2014/main" id="{99310923-E8F6-1594-C771-C457E879771C}"/>
                </a:ext>
              </a:extLst>
            </xdr:cNvPr>
            <xdr:cNvGraphicFramePr/>
          </xdr:nvGraphicFramePr>
          <xdr:xfrm>
            <a:off x="0" y="0"/>
            <a:ext cx="0" cy="0"/>
          </xdr:xfrm>
          <a:graphic>
            <a:graphicData uri="http://schemas.microsoft.com/office/drawing/2010/slicer">
              <sle:slicer xmlns:sle="http://schemas.microsoft.com/office/drawing/2010/slicer" name="الأولوية"/>
            </a:graphicData>
          </a:graphic>
        </xdr:graphicFrame>
      </mc:Choice>
      <mc:Fallback xmlns="">
        <xdr:sp macro="" textlink="">
          <xdr:nvSpPr>
            <xdr:cNvPr id="0" name=""/>
            <xdr:cNvSpPr>
              <a:spLocks noTextEdit="1"/>
            </xdr:cNvSpPr>
          </xdr:nvSpPr>
          <xdr:spPr>
            <a:xfrm>
              <a:off x="10017624534" y="3650071"/>
              <a:ext cx="1828800" cy="89370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47038</xdr:colOff>
      <xdr:row>25</xdr:row>
      <xdr:rowOff>141107</xdr:rowOff>
    </xdr:from>
    <xdr:to>
      <xdr:col>3</xdr:col>
      <xdr:colOff>41394</xdr:colOff>
      <xdr:row>30</xdr:row>
      <xdr:rowOff>141107</xdr:rowOff>
    </xdr:to>
    <mc:AlternateContent xmlns:mc="http://schemas.openxmlformats.org/markup-compatibility/2006" xmlns:a14="http://schemas.microsoft.com/office/drawing/2010/main">
      <mc:Choice Requires="a14">
        <xdr:graphicFrame macro="">
          <xdr:nvGraphicFramePr>
            <xdr:cNvPr id="7" name="المسؤول">
              <a:extLst>
                <a:ext uri="{FF2B5EF4-FFF2-40B4-BE49-F238E27FC236}">
                  <a16:creationId xmlns:a16="http://schemas.microsoft.com/office/drawing/2014/main" id="{0F3E9127-DF2A-ACD9-9B9F-8D1967B89437}"/>
                </a:ext>
              </a:extLst>
            </xdr:cNvPr>
            <xdr:cNvGraphicFramePr/>
          </xdr:nvGraphicFramePr>
          <xdr:xfrm>
            <a:off x="0" y="0"/>
            <a:ext cx="0" cy="0"/>
          </xdr:xfrm>
          <a:graphic>
            <a:graphicData uri="http://schemas.microsoft.com/office/drawing/2010/slicer">
              <sle:slicer xmlns:sle="http://schemas.microsoft.com/office/drawing/2010/slicer" name="المسؤول"/>
            </a:graphicData>
          </a:graphic>
        </xdr:graphicFrame>
      </mc:Choice>
      <mc:Fallback xmlns="">
        <xdr:sp macro="" textlink="">
          <xdr:nvSpPr>
            <xdr:cNvPr id="0" name=""/>
            <xdr:cNvSpPr>
              <a:spLocks noTextEdit="1"/>
            </xdr:cNvSpPr>
          </xdr:nvSpPr>
          <xdr:spPr>
            <a:xfrm>
              <a:off x="10017633940" y="4609626"/>
              <a:ext cx="1828800" cy="893703"/>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28222</xdr:colOff>
      <xdr:row>31</xdr:row>
      <xdr:rowOff>75255</xdr:rowOff>
    </xdr:from>
    <xdr:to>
      <xdr:col>3</xdr:col>
      <xdr:colOff>22578</xdr:colOff>
      <xdr:row>36</xdr:row>
      <xdr:rowOff>75254</xdr:rowOff>
    </xdr:to>
    <mc:AlternateContent xmlns:mc="http://schemas.openxmlformats.org/markup-compatibility/2006" xmlns:a14="http://schemas.microsoft.com/office/drawing/2010/main">
      <mc:Choice Requires="a14">
        <xdr:graphicFrame macro="">
          <xdr:nvGraphicFramePr>
            <xdr:cNvPr id="14" name="تاريخ الاستحقاق">
              <a:extLst>
                <a:ext uri="{FF2B5EF4-FFF2-40B4-BE49-F238E27FC236}">
                  <a16:creationId xmlns:a16="http://schemas.microsoft.com/office/drawing/2014/main" id="{2ED905CA-746D-90EF-A76A-2CBE84257381}"/>
                </a:ext>
              </a:extLst>
            </xdr:cNvPr>
            <xdr:cNvGraphicFramePr/>
          </xdr:nvGraphicFramePr>
          <xdr:xfrm>
            <a:off x="0" y="0"/>
            <a:ext cx="0" cy="0"/>
          </xdr:xfrm>
          <a:graphic>
            <a:graphicData uri="http://schemas.microsoft.com/office/drawing/2010/slicer">
              <sle:slicer xmlns:sle="http://schemas.microsoft.com/office/drawing/2010/slicer" name="تاريخ الاستحقاق"/>
            </a:graphicData>
          </a:graphic>
        </xdr:graphicFrame>
      </mc:Choice>
      <mc:Fallback xmlns="">
        <xdr:sp macro="" textlink="">
          <xdr:nvSpPr>
            <xdr:cNvPr id="0" name=""/>
            <xdr:cNvSpPr>
              <a:spLocks noTextEdit="1"/>
            </xdr:cNvSpPr>
          </xdr:nvSpPr>
          <xdr:spPr>
            <a:xfrm>
              <a:off x="10017652756" y="5616218"/>
              <a:ext cx="1828800" cy="89370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9407</xdr:colOff>
      <xdr:row>36</xdr:row>
      <xdr:rowOff>141102</xdr:rowOff>
    </xdr:from>
    <xdr:to>
      <xdr:col>3</xdr:col>
      <xdr:colOff>3763</xdr:colOff>
      <xdr:row>41</xdr:row>
      <xdr:rowOff>141103</xdr:rowOff>
    </xdr:to>
    <mc:AlternateContent xmlns:mc="http://schemas.openxmlformats.org/markup-compatibility/2006" xmlns:a14="http://schemas.microsoft.com/office/drawing/2010/main">
      <mc:Choice Requires="a14">
        <xdr:graphicFrame macro="">
          <xdr:nvGraphicFramePr>
            <xdr:cNvPr id="15" name="حالة الإجراء">
              <a:extLst>
                <a:ext uri="{FF2B5EF4-FFF2-40B4-BE49-F238E27FC236}">
                  <a16:creationId xmlns:a16="http://schemas.microsoft.com/office/drawing/2014/main" id="{6AFF3918-FB57-B962-B4D0-0B493DBBB139}"/>
                </a:ext>
              </a:extLst>
            </xdr:cNvPr>
            <xdr:cNvGraphicFramePr/>
          </xdr:nvGraphicFramePr>
          <xdr:xfrm>
            <a:off x="0" y="0"/>
            <a:ext cx="0" cy="0"/>
          </xdr:xfrm>
          <a:graphic>
            <a:graphicData uri="http://schemas.microsoft.com/office/drawing/2010/slicer">
              <sle:slicer xmlns:sle="http://schemas.microsoft.com/office/drawing/2010/slicer" name="حالة الإجراء"/>
            </a:graphicData>
          </a:graphic>
        </xdr:graphicFrame>
      </mc:Choice>
      <mc:Fallback xmlns="">
        <xdr:sp macro="" textlink="">
          <xdr:nvSpPr>
            <xdr:cNvPr id="0" name=""/>
            <xdr:cNvSpPr>
              <a:spLocks noTextEdit="1"/>
            </xdr:cNvSpPr>
          </xdr:nvSpPr>
          <xdr:spPr>
            <a:xfrm>
              <a:off x="10017671571" y="6575769"/>
              <a:ext cx="1828800" cy="89370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25</xdr:col>
      <xdr:colOff>242164</xdr:colOff>
      <xdr:row>0</xdr:row>
      <xdr:rowOff>53821</xdr:rowOff>
    </xdr:from>
    <xdr:to>
      <xdr:col>26</xdr:col>
      <xdr:colOff>444420</xdr:colOff>
      <xdr:row>2</xdr:row>
      <xdr:rowOff>150519</xdr:rowOff>
    </xdr:to>
    <xdr:pic>
      <xdr:nvPicPr>
        <xdr:cNvPr id="20" name="Picture 19">
          <a:extLst>
            <a:ext uri="{FF2B5EF4-FFF2-40B4-BE49-F238E27FC236}">
              <a16:creationId xmlns:a16="http://schemas.microsoft.com/office/drawing/2014/main" id="{ADEDD797-1271-7136-9FE3-197080D2E1F9}"/>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0002169654" y="53821"/>
          <a:ext cx="813738" cy="4541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0</xdr:rowOff>
    </xdr:from>
    <xdr:ext cx="1066800" cy="504825"/>
    <xdr:pic>
      <xdr:nvPicPr>
        <xdr:cNvPr id="2" name="Image 1" descr="Pictur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18</xdr:col>
      <xdr:colOff>0</xdr:colOff>
      <xdr:row>0</xdr:row>
      <xdr:rowOff>0</xdr:rowOff>
    </xdr:from>
    <xdr:ext cx="1066800" cy="504825"/>
    <xdr:pic>
      <xdr:nvPicPr>
        <xdr:cNvPr id="2" name="Image 1" descr="Picture">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9</xdr:col>
      <xdr:colOff>0</xdr:colOff>
      <xdr:row>0</xdr:row>
      <xdr:rowOff>0</xdr:rowOff>
    </xdr:from>
    <xdr:ext cx="1066800" cy="504825"/>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13</xdr:col>
      <xdr:colOff>0</xdr:colOff>
      <xdr:row>0</xdr:row>
      <xdr:rowOff>0</xdr:rowOff>
    </xdr:from>
    <xdr:ext cx="1066800" cy="504825"/>
    <xdr:pic>
      <xdr:nvPicPr>
        <xdr:cNvPr id="2" name="Image 1" descr="Pictur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6</xdr:col>
      <xdr:colOff>0</xdr:colOff>
      <xdr:row>0</xdr:row>
      <xdr:rowOff>0</xdr:rowOff>
    </xdr:from>
    <xdr:ext cx="1066800" cy="504825"/>
    <xdr:pic>
      <xdr:nvPicPr>
        <xdr:cNvPr id="2" name="Image 1" descr="Picture">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5</xdr:col>
      <xdr:colOff>0</xdr:colOff>
      <xdr:row>0</xdr:row>
      <xdr:rowOff>0</xdr:rowOff>
    </xdr:from>
    <xdr:ext cx="1066800" cy="504825"/>
    <xdr:pic>
      <xdr:nvPicPr>
        <xdr:cNvPr id="2" name="Image 1" descr="Picture">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yasser abd albaset" refreshedDate="46270.760491203706" createdVersion="8" refreshedVersion="8" minRefreshableVersion="3" recordCount="20" xr:uid="{0239E2BF-05D8-47B6-AE29-FB115B28CD56}">
  <cacheSource type="worksheet">
    <worksheetSource name="tbl_Roadmap"/>
  </cacheSource>
  <cacheFields count="5">
    <cacheField name="م" numFmtId="0">
      <sharedItems containsSemiMixedTypes="0" containsString="0" containsNumber="1" containsInteger="1" minValue="1" maxValue="20"/>
    </cacheField>
    <cacheField name="المرحلة" numFmtId="0">
      <sharedItems count="4">
        <s v="2026"/>
        <s v="2027"/>
        <s v="2028"/>
        <s v="المرحلة الختامية"/>
      </sharedItems>
    </cacheField>
    <cacheField name="البند" numFmtId="0">
      <sharedItems/>
    </cacheField>
    <cacheField name="الحالة" numFmtId="0">
      <sharedItems/>
    </cacheField>
    <cacheField name="ملاحظات"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yasser abd albaset" refreshedDate="46270.760491435183" createdVersion="8" refreshedVersion="8" minRefreshableVersion="3" recordCount="27" xr:uid="{EF7A2A59-6AA3-4F8B-8323-70F39324F339}">
  <cacheSource type="worksheet">
    <worksheetSource name="tbl_Actions"/>
  </cacheSource>
  <cacheFields count="13">
    <cacheField name="رقم الإجراء" numFmtId="0">
      <sharedItems/>
    </cacheField>
    <cacheField name="رقم المتطلب" numFmtId="0">
      <sharedItems containsSemiMixedTypes="0" containsString="0" containsNumber="1" containsInteger="1" minValue="1" maxValue="35"/>
    </cacheField>
    <cacheField name="الفجوة" numFmtId="0">
      <sharedItems/>
    </cacheField>
    <cacheField name="درجة الفجوة" numFmtId="0">
      <sharedItems/>
    </cacheField>
    <cacheField name="الأولوية" numFmtId="0">
      <sharedItems/>
    </cacheField>
    <cacheField name="الإجراء المطلوب" numFmtId="0">
      <sharedItems/>
    </cacheField>
    <cacheField name="المسؤول" numFmtId="0">
      <sharedItems/>
    </cacheField>
    <cacheField name="تاريخ الاستحقاق" numFmtId="164">
      <sharedItems containsSemiMixedTypes="0" containsNonDate="0" containsDate="1" containsString="0" minDate="2026-08-01T00:00:00" maxDate="2027-02-02T00:00:00"/>
    </cacheField>
    <cacheField name="حالة الإجراء" numFmtId="0">
      <sharedItems count="5">
        <s v="قيد التنفيذ"/>
        <s v="متأخر"/>
        <s v="لم يبدأ"/>
        <s v="مكتمل"/>
        <s v="تم التحقق من الإغلاق"/>
      </sharedItems>
    </cacheField>
    <cacheField name="الأيام المتبقية" numFmtId="0">
      <sharedItems containsSemiMixedTypes="0" containsString="0" containsNumber="1" containsInteger="1" minValue="-35" maxValue="149"/>
    </cacheField>
    <cacheField name="متأخر؟" numFmtId="0">
      <sharedItems/>
    </cacheField>
    <cacheField name="التحقق" numFmtId="0">
      <sharedItems/>
    </cacheField>
    <cacheField name="تاريخ الإغلاق" numFmtId="164">
      <sharedItems containsDate="1" containsMixedTypes="1" minDate="2026-08-10T00:00:00" maxDate="2026-08-23T00:00:00"/>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yasser abd albaset" refreshedDate="46270.760506134262" createdVersion="8" refreshedVersion="8" minRefreshableVersion="3" recordCount="35" xr:uid="{49E1BE88-7B5A-42D8-97D1-08FA8F25C7E8}">
  <cacheSource type="worksheet">
    <worksheetSource name="tbl_GapAssessment"/>
  </cacheSource>
  <cacheFields count="18">
    <cacheField name="الرقم" numFmtId="0">
      <sharedItems containsSemiMixedTypes="0" containsString="0" containsNumber="1" containsInteger="1" minValue="1" maxValue="35"/>
    </cacheField>
    <cacheField name="المحور" numFmtId="0">
      <sharedItems count="10">
        <s v="التصنيف والاستقلالية"/>
        <s v="الحياد"/>
        <s v="المخاطر والفرص"/>
        <s v="الموارد والكفاءة"/>
        <s v="أنشطة وإجراءات التفتيش"/>
        <s v="البيانات والمعلومات"/>
        <s v="العميل والاتصال"/>
        <s v="الشكاوى والتظلمات"/>
        <s v="نظام الإدارة والتحسين"/>
        <s v="الانتقال إلى إصدار 2026"/>
      </sharedItems>
    </cacheField>
    <cacheField name="مرجع البند" numFmtId="0">
      <sharedItems containsNonDate="0" containsString="0" containsBlank="1"/>
    </cacheField>
    <cacheField name="المتطلب" numFmtId="0">
      <sharedItems/>
    </cacheField>
    <cacheField name="إرشادات التطبيق" numFmtId="0">
      <sharedItems/>
    </cacheField>
    <cacheField name="الحالة الحالية" numFmtId="0">
      <sharedItems count="4">
        <s v="مطبق جزئيًا"/>
        <s v="مطبق بالكامل"/>
        <s v="غير مطبق"/>
        <s v="لا ينطبق"/>
      </sharedItems>
    </cacheField>
    <cacheField name="توفر الدليل" numFmtId="0">
      <sharedItems count="4">
        <s v="متوفر جزئيًا"/>
        <s v="متوفر"/>
        <s v="غير متوفر"/>
        <s v="لا ينطبق"/>
      </sharedItems>
    </cacheField>
    <cacheField name="مبرر عدم الانطباق" numFmtId="0">
      <sharedItems containsBlank="1"/>
    </cacheField>
    <cacheField name="مرجع الدليل" numFmtId="0">
      <sharedItems containsBlank="1"/>
    </cacheField>
    <cacheField name="الفجوة / الملاحظة" numFmtId="0">
      <sharedItems containsBlank="1"/>
    </cacheField>
    <cacheField name="درجة الفجوة" numFmtId="0">
      <sharedItems containsBlank="1" count="6">
        <s v="رئيسي"/>
        <m/>
        <s v="حرج"/>
        <s v="ثانوي"/>
        <s v="لا ينطبق"/>
        <s v="ملاحظة"/>
      </sharedItems>
    </cacheField>
    <cacheField name="الأولوية" numFmtId="0">
      <sharedItems containsBlank="1" count="4">
        <s v="عالية"/>
        <m/>
        <s v="متوسطة"/>
        <s v="منخفضة"/>
      </sharedItems>
    </cacheField>
    <cacheField name="الإجراء المطلوب" numFmtId="0">
      <sharedItems containsBlank="1"/>
    </cacheField>
    <cacheField name="المسؤول" numFmtId="0">
      <sharedItems containsBlank="1" count="7">
        <s v="مدير الجودة"/>
        <m/>
        <s v="مسؤول الحياد"/>
        <s v="الإدارة المالية / مدير الجودة"/>
        <s v="مسؤول الموارد البشرية"/>
        <s v="مسؤول تقنية المعلومات"/>
        <s v="مدير المشتريات / مدير الجودة"/>
      </sharedItems>
    </cacheField>
    <cacheField name="تاريخ الاستحقاق" numFmtId="164">
      <sharedItems containsNonDate="0" containsDate="1" containsString="0" containsBlank="1" minDate="2026-08-01T00:00:00" maxDate="2027-02-02T00:00:00" count="26">
        <d v="2026-10-15T00:00:00"/>
        <m/>
        <d v="2026-08-20T00:00:00"/>
        <d v="2026-11-01T00:00:00"/>
        <d v="2026-10-01T00:00:00"/>
        <d v="2026-09-10T00:00:00"/>
        <d v="2026-12-01T00:00:00"/>
        <d v="2026-10-20T00:00:00"/>
        <d v="2027-01-15T00:00:00"/>
        <d v="2026-09-25T00:00:00"/>
        <d v="2026-10-10T00:00:00"/>
        <d v="2026-11-15T00:00:00"/>
        <d v="2026-10-30T00:00:00"/>
        <d v="2027-02-01T00:00:00"/>
        <d v="2026-12-15T00:00:00"/>
        <d v="2026-08-15T00:00:00"/>
        <d v="2026-09-30T00:00:00"/>
        <d v="2026-08-01T00:00:00"/>
        <d v="2026-12-20T00:00:00"/>
        <d v="2026-08-25T00:00:00"/>
        <d v="2027-01-31T00:00:00"/>
        <d v="2026-08-18T00:00:00"/>
        <d v="2026-11-05T00:00:00"/>
        <d v="2026-10-25T00:00:00"/>
        <d v="2026-08-12T00:00:00"/>
        <d v="2026-08-28T00:00:00"/>
      </sharedItems>
    </cacheField>
    <cacheField name="حالة الإجراء" numFmtId="0">
      <sharedItems containsBlank="1" count="6">
        <s v="قيد التنفيذ"/>
        <m/>
        <s v="متأخر"/>
        <s v="لم يبدأ"/>
        <s v="مكتمل"/>
        <s v="تم التحقق من الإغلاق"/>
      </sharedItems>
    </cacheField>
    <cacheField name="التحقق من الإغلاق" numFmtId="0">
      <sharedItems containsBlank="1"/>
    </cacheField>
    <cacheField name="تاريخ الإغلاق" numFmtId="164">
      <sharedItems containsNonDate="0" containsDate="1" containsString="0" containsBlank="1" minDate="2026-08-10T00:00:00" maxDate="2026-08-23T00:00:00"/>
    </cacheField>
  </cacheFields>
  <extLst>
    <ext xmlns:x14="http://schemas.microsoft.com/office/spreadsheetml/2009/9/main" uri="{725AE2AE-9491-48be-B2B4-4EB974FC3084}">
      <x14:pivotCacheDefinition pivotCacheId="383436898"/>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
  <r>
    <n v="1"/>
    <x v="0"/>
    <s v="التوعية"/>
    <s v="مكتمل"/>
    <s v="نشر توعوي داخلي حول أهم مستجدات النسخة."/>
  </r>
  <r>
    <n v="2"/>
    <x v="0"/>
    <s v="الحصول على الإصدار الجديد"/>
    <s v="مكتمل"/>
    <s v="تم شراء النسخة الرسمية من ISO."/>
  </r>
  <r>
    <n v="3"/>
    <x v="0"/>
    <s v="تحليل الفجوات"/>
    <s v="قيد التنفيذ"/>
    <s v="باستخدام هذه الأداة."/>
  </r>
  <r>
    <n v="4"/>
    <x v="0"/>
    <s v="التخطيط"/>
    <s v="قيد التنفيذ"/>
    <s v="إعداد خطة الانتقال التفصيلية."/>
  </r>
  <r>
    <n v="5"/>
    <x v="0"/>
    <s v="تشكيل فريق الانتقال"/>
    <s v="مكتمل"/>
    <s v="تعيين مسؤول متابعة ومسؤوليات واضحة لكل محور."/>
  </r>
  <r>
    <n v="6"/>
    <x v="1"/>
    <s v="التطبيق"/>
    <s v="لم يبدأ"/>
    <s v="تطبيق المتطلبات الجديدة على أرض الواقع."/>
  </r>
  <r>
    <n v="7"/>
    <x v="1"/>
    <s v="تحديث الوثائق"/>
    <s v="قيد التنفيذ"/>
    <s v="تحديث السياسات والإجراءات والنماذج."/>
  </r>
  <r>
    <n v="8"/>
    <x v="1"/>
    <s v="تطوير الكفاءة"/>
    <s v="لم يبدأ"/>
    <s v="برامج تدريب وتأهيل المعنيين."/>
  </r>
  <r>
    <n v="9"/>
    <x v="1"/>
    <s v="معالجة المخاطر"/>
    <s v="قيد التنفيذ"/>
    <s v="تنفيذ خطط الاستجابة للمخاطر المحدَّدة."/>
  </r>
  <r>
    <n v="10"/>
    <x v="1"/>
    <s v="تحديث نظام تقنية المعلومات"/>
    <s v="لم يبدأ"/>
    <s v="تحديث الأنظمة الرقمية لدعم متطلبات التتبع والتحقق الجديدة."/>
  </r>
  <r>
    <n v="11"/>
    <x v="2"/>
    <s v="التدقيق الداخلي"/>
    <s v="لم يبدأ"/>
    <s v="تدقيق داخلي شامل وفق المتطلبات الجديدة."/>
  </r>
  <r>
    <n v="12"/>
    <x v="2"/>
    <s v="مراجعة الإدارة"/>
    <s v="لم يبدأ"/>
    <s v="مراجعة إدارة مخصّصة لجاهزية الانتقال."/>
  </r>
  <r>
    <n v="13"/>
    <x v="2"/>
    <s v="الإجراءات التصحيحية"/>
    <s v="لم يبدأ"/>
    <s v="إغلاق ملاحظات التدقيق والمراجعة."/>
  </r>
  <r>
    <n v="14"/>
    <x v="2"/>
    <s v="التحقق من الجاهزية"/>
    <s v="لم يبدأ"/>
    <s v="تقييم ذاتي نهائي قبل التقييم الرسمي."/>
  </r>
  <r>
    <n v="15"/>
    <x v="2"/>
    <s v="تدريب تعزيزي"/>
    <s v="لم يبدأ"/>
    <s v="جلسات تدريب تعزيزية للمفتشين قبل زيارة التقييم."/>
  </r>
  <r>
    <n v="16"/>
    <x v="3"/>
    <s v="إغلاق الفجوات"/>
    <s v="لم يبدأ"/>
    <s v="إغلاق كل الفجوات المتبقية وتوثيق الأدلة."/>
  </r>
  <r>
    <n v="17"/>
    <x v="3"/>
    <s v="الاستعداد للتقييم"/>
    <s v="لم يبدأ"/>
    <s v="تجهيز الملفات والمقابلات لتقييم الاعتماد."/>
  </r>
  <r>
    <n v="18"/>
    <x v="3"/>
    <s v="التنسيق مع جهة الاعتماد"/>
    <s v="لم يبدأ"/>
    <s v="تحديد موعد التقييم الرسمي والتنسيق اللوجستي."/>
  </r>
  <r>
    <n v="19"/>
    <x v="3"/>
    <s v="زيارة التقييم الرسمية"/>
    <s v="لم يبدأ"/>
    <s v="استضافة فريق مركز الاعتماد وإدارة عملية التقييم الميداني."/>
  </r>
  <r>
    <n v="20"/>
    <x v="3"/>
    <s v="إغلاق ملاحظات التقييم واعتماد النقل"/>
    <s v="لم يبدأ"/>
    <s v="إغلاق أي ملاحظات ناتجة عن زيارة التقييم واستلام شهادة الاعتماد المحدَّثة."/>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
  <r>
    <s v="ACT-001"/>
    <n v="1"/>
    <s v="أساس التصنيف موثّق ضمن اللائحة الداخلية دون قرار رسمي معتمد من الإدارة العليا."/>
    <s v="رئيسي"/>
    <s v="عالية"/>
    <s v="استكمال توثيق واعتماد قرار التصنيف رسميًا من الإدارة العليا."/>
    <s v="مدير الجودة"/>
    <d v="2026-10-15T00:00:00"/>
    <x v="0"/>
    <n v="40"/>
    <s v="لا"/>
    <s v="لا"/>
    <s v=""/>
  </r>
  <r>
    <s v="ACT-002"/>
    <n v="3"/>
    <s v="لا يوجد سجل مخاطر حياد موسّع؛ الاكتفاء بإقرارات حياد فردية دون تحليل منهجي لمصادر التهديد."/>
    <s v="حرج"/>
    <s v="عالية"/>
    <s v="بناء سجل مخاطر حياد موسّع يغطي العلاقات التنظيمية والاستعانة بمصادر خارجية والضغوط المالية."/>
    <s v="مسؤول الحياد"/>
    <d v="2026-08-20T00:00:00"/>
    <x v="1"/>
    <n v="-16"/>
    <s v="نعم"/>
    <s v="لا"/>
    <s v=""/>
  </r>
  <r>
    <s v="ACT-003"/>
    <n v="4"/>
    <s v="آلية تصعيد تعارض المصالح غير موثّقة كإجراء مستقل."/>
    <s v="رئيسي"/>
    <s v="متوسطة"/>
    <s v="توثيق إجراء مستقل لتصعيد ومعالجة حالات تعارض المصالح."/>
    <s v="مسؤول الحياد"/>
    <d v="2026-11-01T00:00:00"/>
    <x v="0"/>
    <n v="57"/>
    <s v="لا"/>
    <s v="لا"/>
    <s v=""/>
  </r>
  <r>
    <s v="ACT-004"/>
    <n v="5"/>
    <s v="سجل المخاطر الحالي يقتصر على مخاطر الحياد ولا يغطي مخاطر التشغيل وصحة النتائج."/>
    <s v="رئيسي"/>
    <s v="عالية"/>
    <s v="توسيع سجل المخاطر والفرص ليشمل المخاطر التشغيلية مع خطط استجابة موثقة."/>
    <s v="مدير الجودة"/>
    <d v="2026-10-01T00:00:00"/>
    <x v="2"/>
    <n v="26"/>
    <s v="لا"/>
    <s v="لا"/>
    <s v=""/>
  </r>
  <r>
    <s v="ACT-005"/>
    <n v="6"/>
    <s v="لا توجد منهجية موثقة لتحليل كفاية التغطية التأمينية؛ التجديد يتم دون تحليل رسمي."/>
    <s v="حرج"/>
    <s v="عالية"/>
    <s v="إعداد منهجية موثّقة لتحليل واحتساب كفاية التغطية التأمينية ومراجعتها سنويًا."/>
    <s v="الإدارة المالية / مدير الجودة"/>
    <d v="2026-09-10T00:00:00"/>
    <x v="2"/>
    <n v="5"/>
    <s v="لا"/>
    <s v="لا"/>
    <s v=""/>
  </r>
  <r>
    <s v="ACT-006"/>
    <n v="8"/>
    <s v="التحقق عن بُعد مطبّق جزئيًا لفئة واحدة من العاملين فقط."/>
    <s v="ثانوي"/>
    <s v="متوسطة"/>
    <s v="توسيع أسلوب التحقق عن بُعد ليشمل جميع فئات العاملين والموارد الخارجية."/>
    <s v="مسؤول الموارد البشرية"/>
    <d v="2026-12-01T00:00:00"/>
    <x v="0"/>
    <n v="87"/>
    <s v="لا"/>
    <s v="لا"/>
    <s v=""/>
  </r>
  <r>
    <s v="ACT-007"/>
    <n v="9"/>
    <s v="مصفوفة الكفاءة تُحدَّث سنويًا فقط دون مؤشرات مراقبة مستمرة."/>
    <s v="رئيسي"/>
    <s v="عالية"/>
    <s v="تطوير مصفوفة كفاءة ديناميكية بمؤشرات مراقبة مستمرة."/>
    <s v="مسؤول الموارد البشرية"/>
    <d v="2026-10-20T00:00:00"/>
    <x v="2"/>
    <n v="45"/>
    <s v="لا"/>
    <s v="لا"/>
    <s v=""/>
  </r>
  <r>
    <s v="ACT-008"/>
    <n v="10"/>
    <s v="التغطية تتم لبعض المجالات فقط دون جدول سنوي شامل."/>
    <s v="ثانوي"/>
    <s v="منخفضة"/>
    <s v="إعداد جدول سنوي شامل للتفتيش الدوري/الصوري لكل مجالات النطاق غير المفعّلة."/>
    <s v="مدير الجودة"/>
    <d v="2027-01-15T00:00:00"/>
    <x v="0"/>
    <n v="132"/>
    <s v="لا"/>
    <s v="لا"/>
    <s v=""/>
  </r>
  <r>
    <s v="ACT-009"/>
    <n v="12"/>
    <s v="لا يوجد سجل تحقق (Validation) موثّق لأدوات التفتيش الرقمية المستخدمة حاليًا."/>
    <s v="رئيسي"/>
    <s v="عالية"/>
    <s v="توثيق عملية تحقق رسمية لكل أداة/برنامج رقمي يُستخدم في التفتيش."/>
    <s v="مسؤول تقنية المعلومات"/>
    <d v="2026-09-25T00:00:00"/>
    <x v="2"/>
    <n v="20"/>
    <s v="لا"/>
    <s v="لا"/>
    <s v=""/>
  </r>
  <r>
    <s v="ACT-010"/>
    <n v="13"/>
    <s v="سياسة حماية البيانات لا تغطي تتبع التعديلات (Audit Trail) على السجلات الإلكترونية."/>
    <s v="رئيسي"/>
    <s v="عالية"/>
    <s v="تفعيل خاصية تتبع التعديلات على السجلات الإلكترونية وتحديث السياسة."/>
    <s v="مسؤول تقنية المعلومات"/>
    <d v="2026-10-10T00:00:00"/>
    <x v="0"/>
    <n v="35"/>
    <s v="لا"/>
    <s v="لا"/>
    <s v=""/>
  </r>
  <r>
    <s v="ACT-011"/>
    <n v="16"/>
    <s v="آلية مراجعة مخرجات مقدّمي الخدمات الخارجيين غير موثّقة كإجراء رسمي."/>
    <s v="ثانوي"/>
    <s v="متوسطة"/>
    <s v="توثيق إجراء رسمي لمراجعة واعتماد مخرجات مقدّمي الخدمات الخارجيين."/>
    <s v="مدير المشتريات / مدير الجودة"/>
    <d v="2026-11-15T00:00:00"/>
    <x v="0"/>
    <n v="71"/>
    <s v="لا"/>
    <s v="لا"/>
    <s v=""/>
  </r>
  <r>
    <s v="ACT-012"/>
    <n v="17"/>
    <s v="المهل الزمنية لمعالجة التظلمات غير محدَّدة صراحة في الإجراء الحالي."/>
    <s v="ثانوي"/>
    <s v="متوسطة"/>
    <s v="تحديث إجراء الشكاوى والتظلمات بمهل زمنية واضحة لكل مرحلة."/>
    <s v="مدير الجودة"/>
    <d v="2026-10-30T00:00:00"/>
    <x v="2"/>
    <n v="55"/>
    <s v="لا"/>
    <s v="لا"/>
    <s v=""/>
  </r>
  <r>
    <s v="ACT-013"/>
    <n v="18"/>
    <s v="لا يوجد تحليل اتجاهات دوري للشكاوى؛ يتم التعامل مع كل شكوى بشكل منفرد."/>
    <s v="ثانوي"/>
    <s v="منخفضة"/>
    <s v="إعداد تقرير تحليل اتجاهات شكاوى نصف سنوي وربطه بسجل المخاطر."/>
    <s v="مدير الجودة"/>
    <d v="2027-02-01T00:00:00"/>
    <x v="2"/>
    <n v="149"/>
    <s v="لا"/>
    <s v="لا"/>
    <s v=""/>
  </r>
  <r>
    <s v="ACT-014"/>
    <n v="19"/>
    <s v="لم تُجرَ مقارنة رسمية بعد بين نظام الإدارة الحالي والعناصر المشتركة المحدَّثة."/>
    <s v="ملاحظة"/>
    <s v="منخفضة"/>
    <s v="إجراء مراجعة مقارنة رسمية لعناصر نظام الإدارة المشتركة وتوثيق النتائج."/>
    <s v="مدير الجودة"/>
    <d v="2026-12-15T00:00:00"/>
    <x v="0"/>
    <n v="101"/>
    <s v="لا"/>
    <s v="لا"/>
    <s v=""/>
  </r>
  <r>
    <s v="ACT-015"/>
    <n v="21"/>
    <s v="آخر ملاحظات التدقيق الداخلي أُغلقت دون توثيق التحقق من فعالية الإجراء."/>
    <s v="ثانوي"/>
    <s v="متوسطة"/>
    <s v="توثيق التحقق من فعالية إجراءات إغلاق ملاحظات التدقيق الداخلي."/>
    <s v="مدير الجودة"/>
    <d v="2026-08-15T00:00:00"/>
    <x v="3"/>
    <n v="-21"/>
    <s v="لا"/>
    <s v="قيد المراجعة"/>
    <d v="2026-08-20T00:00:00"/>
  </r>
  <r>
    <s v="ACT-016"/>
    <n v="22"/>
    <s v="تم اقتناء النسخة الرسمية، ولم يبدأ برنامج التدريب الداخلي بعد."/>
    <s v="رئيسي"/>
    <s v="عالية"/>
    <s v="إطلاق برنامج تدريب داخلي على متطلبات النسخة المحدّثة لكل المعنيين."/>
    <s v="مدير الجودة"/>
    <d v="2026-09-30T00:00:00"/>
    <x v="0"/>
    <n v="25"/>
    <s v="لا"/>
    <s v="لا"/>
    <s v=""/>
  </r>
  <r>
    <s v="ACT-017"/>
    <n v="23"/>
    <s v="تم التواصل الأولي مع مركز الاعتماد؛ خطة الانتقال التفصيلية الداخلية لم تُعتمد رسميًا بعد."/>
    <s v="رئيسي"/>
    <s v="عالية"/>
    <s v="اعتماد خطة انتقال داخلية تفصيلية ومشاركتها مع مركز الاعتماد."/>
    <s v="مدير الجودة"/>
    <d v="2026-08-01T00:00:00"/>
    <x v="4"/>
    <n v="-35"/>
    <s v="لا"/>
    <s v="نعم"/>
    <d v="2026-08-10T00:00:00"/>
  </r>
  <r>
    <s v="ACT-018"/>
    <n v="24"/>
    <s v="لا توجد آلية رسمية تربط التغييرات التنظيمية بإعادة تقييم التصنيف؛ المراجعة تتم بشكل عرضي غير موثّق."/>
    <s v="ثانوي"/>
    <s v="متوسطة"/>
    <s v="توثيق آلية رسمية لإعادة تقييم التصنيف عند أي تغيير جوهري وربطها بإجراء التحكم بالتغيير."/>
    <s v="مدير الجودة"/>
    <d v="2026-12-20T00:00:00"/>
    <x v="2"/>
    <n v="106"/>
    <s v="لا"/>
    <s v="لا"/>
    <s v=""/>
  </r>
  <r>
    <s v="ACT-019"/>
    <n v="25"/>
    <s v="التقييم الحالي عام على مستوى الجهة ولا يفصّل الاحتمالية والأثر لكل مصدر تهديد."/>
    <s v="رئيسي"/>
    <s v="متوسطة"/>
    <s v="تطوير مصفوفة احتمالية × أثر مفصّلة لكل مصدر تهديد للحياد وربطها بخطط استجابة."/>
    <s v="مسؤول الحياد"/>
    <d v="2026-08-25T00:00:00"/>
    <x v="1"/>
    <n v="-11"/>
    <s v="نعم"/>
    <s v="لا"/>
    <s v=""/>
  </r>
  <r>
    <s v="ACT-020"/>
    <n v="26"/>
    <s v="سجل المخاطر يفتقر لمؤشرات أداء كمية لمتابعة فعالية خطط الاستجابة."/>
    <s v="ثانوي"/>
    <s v="منخفضة"/>
    <s v="تحديد مؤشرات أداء قابلة للقياس لأهم 5 مخاطر في السجل ومتابعتها ربع سنويًا."/>
    <s v="مدير الجودة"/>
    <d v="2027-01-31T00:00:00"/>
    <x v="2"/>
    <n v="148"/>
    <s v="لا"/>
    <s v="لا"/>
    <s v=""/>
  </r>
  <r>
    <s v="ACT-021"/>
    <n v="27"/>
    <s v="لا توجد خطة إحلال موثّقة للأدوار الحرجة؛ الاعتماد حاليًا على أفراد بعينهم دون بديل مؤهَّل موثّق."/>
    <s v="رئيسي"/>
    <s v="عالية"/>
    <s v="إعداد خطة إحلال موثّقة للأدوار الحرجة واعتمادها من الإدارة العليا."/>
    <s v="مسؤول الموارد البشرية"/>
    <d v="2026-08-18T00:00:00"/>
    <x v="1"/>
    <n v="-18"/>
    <s v="نعم"/>
    <s v="لا"/>
    <s v=""/>
  </r>
  <r>
    <s v="ACT-022"/>
    <n v="28"/>
    <s v="التعامل مع الحالات الحدّية متروك للتقدير الشخصي للمفتش دون معايير موثّقة كافية."/>
    <s v="رئيسي"/>
    <s v="متوسطة"/>
    <s v="توثيق ملحق فني بمعايير اتخاذ القرار في الحالات الحدّية وتدريب المفتشين عليه."/>
    <s v="مدير الجودة"/>
    <d v="2026-11-05T00:00:00"/>
    <x v="0"/>
    <n v="61"/>
    <s v="لا"/>
    <s v="لا"/>
    <s v=""/>
  </r>
  <r>
    <s v="ACT-023"/>
    <n v="30"/>
    <s v="النسخ الاحتياطي يتم تلقائيًا عبر النظام لكن لا يوجد سجل اختبار استعادة دوري موثّق."/>
    <s v="رئيسي"/>
    <s v="عالية"/>
    <s v="توثيق وتنفيذ اختبار استعادة نصف سنوي للنسخ الاحتياطية وتسجيل النتائج."/>
    <s v="مسؤول تقنية المعلومات"/>
    <d v="2026-10-25T00:00:00"/>
    <x v="0"/>
    <n v="50"/>
    <s v="لا"/>
    <s v="لا"/>
    <s v=""/>
  </r>
  <r>
    <s v="ACT-024"/>
    <n v="32"/>
    <s v="لا يوجد قياس منهجي لرضا العملاء؛ التغذية الراجعة تصل بشكل غير رسمي فقط عبر الشكاوى."/>
    <s v="ثانوي"/>
    <s v="متوسطة"/>
    <s v="تصميم وإطلاق استبيان رضا عملاء نصف سنوي وربط نتائجه بمراجعة الإدارة."/>
    <s v="مدير الجودة"/>
    <d v="2026-12-01T00:00:00"/>
    <x v="2"/>
    <n v="87"/>
    <s v="لا"/>
    <s v="لا"/>
    <s v=""/>
  </r>
  <r>
    <s v="ACT-025"/>
    <n v="33"/>
    <s v="مسار التصعيد البديل عند تعارض المصالح مذكور بشكل عام دون تفصيل الآلية العملية."/>
    <s v="ثانوي"/>
    <s v="منخفضة"/>
    <s v="تفصيل آلية التصعيد البديل لحالات تعارض المصالح ضمن إجراء الشكاوى والتظلمات."/>
    <s v="مدير الجودة"/>
    <d v="2027-01-15T00:00:00"/>
    <x v="2"/>
    <n v="132"/>
    <s v="لا"/>
    <s v="لا"/>
    <s v=""/>
  </r>
  <r>
    <s v="ACT-026"/>
    <n v="34"/>
    <s v="توثيق المعرفة التنظيمية يتم بشكل غير منتظم ويعتمد على مبادرات فردية."/>
    <s v="ملاحظة"/>
    <s v="منخفضة"/>
    <s v="بناء مستودع مركزي موثّق للمعرفة التنظيمية الحرجة وتحديثه دوريًا."/>
    <s v="مدير الجودة"/>
    <d v="2026-08-12T00:00:00"/>
    <x v="3"/>
    <n v="-24"/>
    <s v="لا"/>
    <s v="نعم"/>
    <d v="2026-08-22T00:00:00"/>
  </r>
  <r>
    <s v="ACT-027"/>
    <n v="35"/>
    <s v="لم يُجرَ بعد تقييم ذاتي شامل ومكتمل وفق جميع بنود النسخة المحدَّثة."/>
    <s v="رئيسي"/>
    <s v="عالية"/>
    <s v="استكمال التقييم الذاتي الشامل عبر هذه الأداة وتوثيق النتيجة النهائية قبل طلب زيارة التقييم."/>
    <s v="مدير الجودة"/>
    <d v="2026-08-28T00:00:00"/>
    <x v="1"/>
    <n v="-8"/>
    <s v="نعم"/>
    <s v="لا"/>
    <s v=""/>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
  <r>
    <n v="1"/>
    <x v="0"/>
    <m/>
    <s v="تحديد تصنيف الجهة (النوع A لأطراف ثالثة محايدة ومستقلة إداريًا وتنظيميًا، أو النوع Non-A) وتوثيق أساس هذا التصنيف، بما يتوافق مع النموذج المبسّط في النسخة المحدّثة."/>
    <s v="راجعي الهيكل التنظيمي وعلاقات الملكية والتبعية الإدارية، ووثّقي قرار التصنيف واعتمديه من الإدارة العليا."/>
    <x v="0"/>
    <x v="0"/>
    <m/>
    <s v="EV-01"/>
    <s v="أساس التصنيف موثّق ضمن اللائحة الداخلية دون قرار رسمي معتمد من الإدارة العليا."/>
    <x v="0"/>
    <x v="0"/>
    <s v="استكمال توثيق واعتماد قرار التصنيف رسميًا من الإدارة العليا."/>
    <x v="0"/>
    <x v="0"/>
    <x v="0"/>
    <s v="لا"/>
    <m/>
  </r>
  <r>
    <n v="2"/>
    <x v="0"/>
    <m/>
    <s v="مراجعة نطاق الاعتماد والوثائق التعريفية بما يعكس اتساع مجال تطبيق المواصفة وتحديث عنوانها."/>
    <s v="راجعي شهادة الاعتماد والوثائق التسويقية والتعاقدية للتأكد من توافقها مع النطاق المحدّث."/>
    <x v="1"/>
    <x v="1"/>
    <m/>
    <s v="EV-02"/>
    <m/>
    <x v="1"/>
    <x v="1"/>
    <m/>
    <x v="1"/>
    <x v="1"/>
    <x v="1"/>
    <m/>
    <m/>
  </r>
  <r>
    <n v="3"/>
    <x v="1"/>
    <m/>
    <s v="تحديد وتوثيق مصادر التهديد للحياد الناشئة عن العلاقات التنظيمية أو الاستعانة بمصادر خارجية أو الضغوط المالية بتفصيل أكبر."/>
    <s v="حدّثي سجل مخاطر الحياد ليغطي هذه المصادر تحديدًا، وراجعيه دوريًا مع أصحاب الصلاحية."/>
    <x v="2"/>
    <x v="2"/>
    <m/>
    <m/>
    <s v="لا يوجد سجل مخاطر حياد موسّع؛ الاكتفاء بإقرارات حياد فردية دون تحليل منهجي لمصادر التهديد."/>
    <x v="2"/>
    <x v="0"/>
    <s v="بناء سجل مخاطر حياد موسّع يغطي العلاقات التنظيمية والاستعانة بمصادر خارجية والضغوط المالية."/>
    <x v="2"/>
    <x v="2"/>
    <x v="2"/>
    <s v="لا"/>
    <m/>
  </r>
  <r>
    <n v="4"/>
    <x v="1"/>
    <m/>
    <s v="تعزيز آليات حماية الحياد والسرية وربطها بإجراءات موثّقة وقابلة للتدقيق، بما يشمل تعارض المصالح المحتمل."/>
    <s v="تأكدي من وجود إقرارات حياد موقّعة من جميع العاملين المعنيين وآلية تصعيد واضحة لأي تعارض مصالح."/>
    <x v="0"/>
    <x v="0"/>
    <m/>
    <s v="EV-03"/>
    <s v="آلية تصعيد تعارض المصالح غير موثّقة كإجراء مستقل."/>
    <x v="0"/>
    <x v="2"/>
    <s v="توثيق إجراء مستقل لتصعيد ومعالجة حالات تعارض المصالح."/>
    <x v="2"/>
    <x v="3"/>
    <x v="0"/>
    <s v="لا"/>
    <m/>
  </r>
  <r>
    <n v="5"/>
    <x v="2"/>
    <m/>
    <s v="توسيع نطاق تحليل المخاطر والفرص ليشمل مخاطر التشغيل وصحة نتائج التفتيش إضافة إلى الحياد، مع خطة للتجنّب أو التخفيف."/>
    <s v="اربطي سجل المخاطر والفرص بالعمليات التشغيلية لا بمحور الحياد فقط، وحدّدي لكل مخاطرة إجراء استجابة."/>
    <x v="0"/>
    <x v="2"/>
    <m/>
    <m/>
    <s v="سجل المخاطر الحالي يقتصر على مخاطر الحياد ولا يغطي مخاطر التشغيل وصحة النتائج."/>
    <x v="0"/>
    <x v="0"/>
    <s v="توسيع سجل المخاطر والفرص ليشمل المخاطر التشغيلية مع خطط استجابة موثقة."/>
    <x v="0"/>
    <x v="4"/>
    <x v="3"/>
    <s v="لا"/>
    <m/>
  </r>
  <r>
    <n v="6"/>
    <x v="2"/>
    <m/>
    <s v="تحليل مدى كفاية التغطية التأمينية لأنشطة التفتيش، ووضع منهجية موثّقة وواضحة لكيفية احتساب هذه الكفاية."/>
    <s v="راجعي وثيقة التأمين الحالية مقابل حجم الأنشطة والمخاطر المحتملة، ووثّقي أسلوب الحساب المعتمد."/>
    <x v="2"/>
    <x v="2"/>
    <m/>
    <m/>
    <s v="لا توجد منهجية موثقة لتحليل كفاية التغطية التأمينية؛ التجديد يتم دون تحليل رسمي."/>
    <x v="2"/>
    <x v="0"/>
    <s v="إعداد منهجية موثّقة لتحليل واحتساب كفاية التغطية التأمينية ومراجعتها سنويًا."/>
    <x v="3"/>
    <x v="5"/>
    <x v="3"/>
    <s v="لا"/>
    <m/>
  </r>
  <r>
    <n v="7"/>
    <x v="2"/>
    <m/>
    <s v="تحديد دورية مناسبة (غير مُلزَم أن تكون سنوية) لمراجعة المخاطر والفرص ضمن المراجعة الداخلية ومراجعة الإدارة."/>
    <s v="حدّدي الدورية رسميًا في إجراء موثّق مع مراعاة حجم المنشأة ونوع الخدمات المقدَّمة."/>
    <x v="1"/>
    <x v="1"/>
    <m/>
    <s v="EV-04"/>
    <m/>
    <x v="1"/>
    <x v="1"/>
    <m/>
    <x v="1"/>
    <x v="1"/>
    <x v="1"/>
    <m/>
    <m/>
  </r>
  <r>
    <n v="8"/>
    <x v="3"/>
    <m/>
    <s v="اعتماد أساليب تواكب التقنيات الحديثة لإثبات استمرارية كفاءة العاملين والمعدات ومقدّمي الخدمات الخارجيين دون الحضور الفعلي الدائم بالموقع."/>
    <s v="قيّمي إمكانية استخدام أساليب تحقق عن بُعد (مراجعة تسجيلات، اختبارات إلكترونية) لتوثيق استمرارية الكفاءة."/>
    <x v="0"/>
    <x v="0"/>
    <m/>
    <s v="EV-05"/>
    <s v="التحقق عن بُعد مطبّق جزئيًا لفئة واحدة من العاملين فقط."/>
    <x v="3"/>
    <x v="2"/>
    <s v="توسيع أسلوب التحقق عن بُعد ليشمل جميع فئات العاملين والموارد الخارجية."/>
    <x v="4"/>
    <x v="6"/>
    <x v="0"/>
    <s v="لا"/>
    <m/>
  </r>
  <r>
    <n v="9"/>
    <x v="3"/>
    <m/>
    <s v="تحديث آليات متابعة الكفاءة لتشمل مراقبة مستمرة تربط بين التدريب والتأهيل والتفويض وإعادة التقييم الدوري."/>
    <s v="راجعي مصفوفة الكفاءة الحالية وأضيفي مؤشرات متابعة مستمرة بدلاً من الاكتفاء بالتقييم السنوي."/>
    <x v="2"/>
    <x v="2"/>
    <m/>
    <m/>
    <s v="مصفوفة الكفاءة تُحدَّث سنويًا فقط دون مؤشرات مراقبة مستمرة."/>
    <x v="0"/>
    <x v="0"/>
    <s v="تطوير مصفوفة كفاءة ديناميكية بمؤشرات مراقبة مستمرة."/>
    <x v="4"/>
    <x v="7"/>
    <x v="3"/>
    <s v="لا"/>
    <m/>
  </r>
  <r>
    <n v="10"/>
    <x v="3"/>
    <m/>
    <s v="تنفيذ وتوثيق تفتيش دوري (ولو صوري) للمجالات ضمن نطاق الاعتماد غير المطبَّقة بانتظام، والتحقق من نتائجه."/>
    <s v="ضعي جدولاً سنويًا لتغطية هذه المجالات ووثّقي نتائج كل عملية ولو كانت تدريبية."/>
    <x v="0"/>
    <x v="0"/>
    <m/>
    <s v="EV-06"/>
    <s v="التغطية تتم لبعض المجالات فقط دون جدول سنوي شامل."/>
    <x v="3"/>
    <x v="3"/>
    <s v="إعداد جدول سنوي شامل للتفتيش الدوري/الصوري لكل مجالات النطاق غير المفعّلة."/>
    <x v="0"/>
    <x v="8"/>
    <x v="0"/>
    <s v="لا"/>
    <m/>
  </r>
  <r>
    <n v="11"/>
    <x v="4"/>
    <m/>
    <s v="توضيح أساليب التفتيش المعتمدة وطريقة التعامل مع الانحرافات، وضمان الاتساق في اتخاذ القرار بين المفتشين."/>
    <s v="حدّثي إجراءات التفتيش لتوضيح معايير اتخاذ القرار، وأجري معايرة دورية بين المفتشين."/>
    <x v="1"/>
    <x v="1"/>
    <m/>
    <s v="EV-07"/>
    <m/>
    <x v="1"/>
    <x v="1"/>
    <m/>
    <x v="1"/>
    <x v="1"/>
    <x v="1"/>
    <m/>
    <m/>
  </r>
  <r>
    <n v="12"/>
    <x v="4"/>
    <m/>
    <s v="التحقق من صحة وموثوقية أي أدوات أو برمجيات رقمية تُستخدم في عمليات التفتيش أو تسجيل نتائجه."/>
    <s v="وثّقي عملية التحقق (Validation) لأي نظام أو تطبيق رقمي يُستخدم في جمع أو تسجيل بيانات التفتيش."/>
    <x v="2"/>
    <x v="2"/>
    <m/>
    <m/>
    <s v="لا يوجد سجل تحقق (Validation) موثّق لأدوات التفتيش الرقمية المستخدمة حاليًا."/>
    <x v="0"/>
    <x v="0"/>
    <s v="توثيق عملية تحقق رسمية لكل أداة/برنامج رقمي يُستخدم في التفتيش."/>
    <x v="5"/>
    <x v="9"/>
    <x v="3"/>
    <s v="لا"/>
    <m/>
  </r>
  <r>
    <n v="13"/>
    <x v="5"/>
    <m/>
    <s v="تعزيز متطلبات أمن البيانات وسلامتها وقابليتها للتتبع، بما يشمل السجلات الإلكترونية."/>
    <s v="راجعي سياسة حماية البيانات وآليات النسخ الاحتياطي والصلاحيات، وتأكدي من إمكانية تتبع أي تعديل على السجلات."/>
    <x v="0"/>
    <x v="0"/>
    <m/>
    <s v="EV-08"/>
    <s v="سياسة حماية البيانات لا تغطي تتبع التعديلات (Audit Trail) على السجلات الإلكترونية."/>
    <x v="0"/>
    <x v="0"/>
    <s v="تفعيل خاصية تتبع التعديلات على السجلات الإلكترونية وتحديث السياسة."/>
    <x v="5"/>
    <x v="10"/>
    <x v="0"/>
    <s v="لا"/>
    <m/>
  </r>
  <r>
    <n v="14"/>
    <x v="5"/>
    <m/>
    <s v="وضع ضوابط موثّقة عند اعتماد التفتيش عن بُعد أو العمليات الآلية جزئيًا ضمن منهجية التفتيش."/>
    <s v="حدّدي الحالات التي يُسمح فيها بالتفتيش عن بُعد والشروط الواجب توفرها لضمان موثوقية النتيجة."/>
    <x v="3"/>
    <x v="3"/>
    <s v="الجهة لا تعتمد التفتيش عن بُعد أو العمليات الآلية حاليًا ضمن نطاق اعتمادها الحالي."/>
    <m/>
    <m/>
    <x v="4"/>
    <x v="1"/>
    <m/>
    <x v="1"/>
    <x v="1"/>
    <x v="1"/>
    <m/>
    <m/>
  </r>
  <r>
    <n v="15"/>
    <x v="6"/>
    <m/>
    <s v="التأكد من إبلاغ العملاء وأصحاب المصلحة بتصنيف الجهة (Type A / Non-A) ونطاق اعتمادها بوضوح وشفافية."/>
    <s v="راجعي نماذج العروض والعقود والتقارير للتأكد من ذكر التصنيف بوضوح عند الحاجة."/>
    <x v="1"/>
    <x v="1"/>
    <m/>
    <s v="EV-09"/>
    <m/>
    <x v="1"/>
    <x v="1"/>
    <m/>
    <x v="1"/>
    <x v="1"/>
    <x v="1"/>
    <m/>
    <m/>
  </r>
  <r>
    <n v="16"/>
    <x v="6"/>
    <m/>
    <s v="التأكد من احتفاظ الجهة بالتحكم والمساءلة الكاملة عن أي أنشطة تفتيش أو خدمات مُسندة لمصادر خارجية."/>
    <s v="راجعي عقود مقدّمي الخدمات الخارجيين وآلية الرقابة على مخرجاتهم قبل اعتمادها."/>
    <x v="0"/>
    <x v="0"/>
    <m/>
    <s v="EV-10"/>
    <s v="آلية مراجعة مخرجات مقدّمي الخدمات الخارجيين غير موثّقة كإجراء رسمي."/>
    <x v="3"/>
    <x v="2"/>
    <s v="توثيق إجراء رسمي لمراجعة واعتماد مخرجات مقدّمي الخدمات الخارجيين."/>
    <x v="6"/>
    <x v="11"/>
    <x v="0"/>
    <s v="لا"/>
    <m/>
  </r>
  <r>
    <n v="17"/>
    <x v="7"/>
    <m/>
    <s v="تحديث إجراءات استقبال ومعالجة الشكاوى والتظلمات بما يحقق وضوحًا واتساقًا أكبر ويتماشى مع بقية سلسلة مواصفات ISO/IEC 17000."/>
    <s v="راجعي نموذج ودورة معالجة الشكاوى والتظلمات وتأكدي من تحديد مهل زمنية واضحة لكل مرحلة."/>
    <x v="0"/>
    <x v="0"/>
    <m/>
    <s v="EV-11"/>
    <s v="المهل الزمنية لمعالجة التظلمات غير محدَّدة صراحة في الإجراء الحالي."/>
    <x v="3"/>
    <x v="2"/>
    <s v="تحديث إجراء الشكاوى والتظلمات بمهل زمنية واضحة لكل مرحلة."/>
    <x v="0"/>
    <x v="12"/>
    <x v="3"/>
    <s v="لا"/>
    <m/>
  </r>
  <r>
    <n v="18"/>
    <x v="7"/>
    <m/>
    <s v="تحليل الشكاوى والتظلمات دوريًا لاستخلاص اتجاهات تُغذّي سجل المخاطر والفرص وخطط التحسين."/>
    <s v="أنشئي تقريرًا دوريًا يلخّص أنواع الشكاوى المتكررة ويربطها بإجراءات تصحيحية أو تحسينية."/>
    <x v="2"/>
    <x v="2"/>
    <m/>
    <m/>
    <s v="لا يوجد تحليل اتجاهات دوري للشكاوى؛ يتم التعامل مع كل شكوى بشكل منفرد."/>
    <x v="3"/>
    <x v="3"/>
    <s v="إعداد تقرير تحليل اتجاهات شكاوى نصف سنوي وربطه بسجل المخاطر."/>
    <x v="0"/>
    <x v="13"/>
    <x v="3"/>
    <s v="لا"/>
    <m/>
  </r>
  <r>
    <n v="19"/>
    <x v="8"/>
    <m/>
    <s v="مواءمة العناصر المشتركة لنظام الإدارة مع التحديثات الحديثة في سلسلة مواصفات ISO/IEC 17000 (مثل 17025 و17065)."/>
    <s v="قارني بنود نظام الإدارة الحالي مع أي تحديثات صدرت في مواصفات مشابهة معتمدة لدى الجهة إن وجدت."/>
    <x v="0"/>
    <x v="0"/>
    <m/>
    <s v="EV-12"/>
    <s v="لم تُجرَ مقارنة رسمية بعد بين نظام الإدارة الحالي والعناصر المشتركة المحدَّثة."/>
    <x v="5"/>
    <x v="3"/>
    <s v="إجراء مراجعة مقارنة رسمية لعناصر نظام الإدارة المشتركة وتوثيق النتائج."/>
    <x v="0"/>
    <x v="14"/>
    <x v="0"/>
    <s v="لا"/>
    <m/>
  </r>
  <r>
    <n v="20"/>
    <x v="8"/>
    <m/>
    <s v="تحديث منهجية مراجعة الإدارة لتراعي المرونة في الدورية وتغطي مخرجات تحليل المخاطر والفرص والتغطية التأمينية والشكاوى."/>
    <s v="حدّثي جدول أعمال مراجعة الإدارة ليشمل هذه المخرجات كبنود أساسية."/>
    <x v="1"/>
    <x v="1"/>
    <m/>
    <s v="EV-13"/>
    <m/>
    <x v="1"/>
    <x v="1"/>
    <m/>
    <x v="1"/>
    <x v="1"/>
    <x v="1"/>
    <m/>
    <m/>
  </r>
  <r>
    <n v="21"/>
    <x v="8"/>
    <m/>
    <s v="التأكد من أن مخرجات التدقيق الداخلي ومراجعة الإدارة تُترجَم إلى إجراءات تحسين موثّقة ومتابَعة حتى الإغلاق."/>
    <s v="استخدمي خطة إجراءات موحدة (كهذه الأداة) لمتابعة كل ملاحظة حتى إغلاقها والتحقق من فعاليتها."/>
    <x v="0"/>
    <x v="1"/>
    <m/>
    <s v="EV-14"/>
    <s v="آخر ملاحظات التدقيق الداخلي أُغلقت دون توثيق التحقق من فعالية الإجراء."/>
    <x v="3"/>
    <x v="2"/>
    <s v="توثيق التحقق من فعالية إجراءات إغلاق ملاحظات التدقيق الداخلي."/>
    <x v="0"/>
    <x v="15"/>
    <x v="4"/>
    <s v="قيد المراجعة"/>
    <d v="2026-08-20T00:00:00"/>
  </r>
  <r>
    <n v="22"/>
    <x v="9"/>
    <m/>
    <s v="اقتناء النسخة الرسمية المحدّثة من المواصفة ISO/IEC 17020:2026 وتدريب المسؤولين والمعنيين على متطلباتها الجديدة."/>
    <s v="خصّصي ميزانية وخطة تدريب داخلية، ووثّقي حضور المعنيين وتقييم فهمهم للتحديثات."/>
    <x v="0"/>
    <x v="0"/>
    <m/>
    <s v="EV-15"/>
    <s v="تم اقتناء النسخة الرسمية، ولم يبدأ برنامج التدريب الداخلي بعد."/>
    <x v="0"/>
    <x v="0"/>
    <s v="إطلاق برنامج تدريب داخلي على متطلبات النسخة المحدّثة لكل المعنيين."/>
    <x v="0"/>
    <x v="16"/>
    <x v="0"/>
    <s v="لا"/>
    <m/>
  </r>
  <r>
    <n v="23"/>
    <x v="9"/>
    <m/>
    <s v="التواصل مع مركز الاعتماد الوطني لفهم الخطة الانتقالية التفصيلية، واستكمال التطبيق الكامل خلال المهلة المحدَّدة من تاريخ التدشين."/>
    <s v="وثّقي أي مراسلات مع جهة الاعتماد وتابعي الجدول الزمني الداخلي مقابل الموعد المستهدف في إعدادات المنشأة."/>
    <x v="0"/>
    <x v="1"/>
    <m/>
    <s v="EV-16"/>
    <s v="تم التواصل الأولي مع مركز الاعتماد؛ خطة الانتقال التفصيلية الداخلية لم تُعتمد رسميًا بعد."/>
    <x v="0"/>
    <x v="0"/>
    <s v="اعتماد خطة انتقال داخلية تفصيلية ومشاركتها مع مركز الاعتماد."/>
    <x v="0"/>
    <x v="17"/>
    <x v="5"/>
    <s v="نعم"/>
    <d v="2026-08-10T00:00:00"/>
  </r>
  <r>
    <n v="24"/>
    <x v="0"/>
    <m/>
    <s v="توثيق آلية رسمية لإعادة تقييم تصنيف الجهة (Type A / Non-A) تلقائيًا عند أي تغيير جوهري في الهيكل التنظيمي أو الملكية أو التبعية الإدارية."/>
    <s v="أضيفي بندًا في إجراء التحكم بالتغيير يُلزم بإعادة تقييم التصنيف عند أي تغيير جوهري، ووثّقي آخر مراجعة."/>
    <x v="2"/>
    <x v="2"/>
    <m/>
    <m/>
    <s v="لا توجد آلية رسمية تربط التغييرات التنظيمية بإعادة تقييم التصنيف؛ المراجعة تتم بشكل عرضي غير موثّق."/>
    <x v="3"/>
    <x v="2"/>
    <s v="توثيق آلية رسمية لإعادة تقييم التصنيف عند أي تغيير جوهري وربطها بإجراء التحكم بالتغيير."/>
    <x v="0"/>
    <x v="18"/>
    <x v="3"/>
    <s v="لا"/>
    <m/>
  </r>
  <r>
    <n v="25"/>
    <x v="1"/>
    <m/>
    <s v="توسيع مصفوفة تحليل مخاطر الحياد لتشمل تصنيف احتمالية وأثر كل مصدر تهديد على حدة، بدلاً من تقييم عام واحد."/>
    <s v="حوّلي سجل مخاطر الحياد إلى مصفوفة احتمالية × أثر لكل مصدر تهديد على حدة مع خطة استجابة مخصّصة."/>
    <x v="0"/>
    <x v="0"/>
    <m/>
    <s v="EV-19"/>
    <s v="التقييم الحالي عام على مستوى الجهة ولا يفصّل الاحتمالية والأثر لكل مصدر تهديد."/>
    <x v="0"/>
    <x v="2"/>
    <s v="تطوير مصفوفة احتمالية × أثر مفصّلة لكل مصدر تهديد للحياد وربطها بخطط استجابة."/>
    <x v="2"/>
    <x v="19"/>
    <x v="2"/>
    <s v="لا"/>
    <m/>
  </r>
  <r>
    <n v="26"/>
    <x v="2"/>
    <m/>
    <s v="ربط سجل المخاطر والفرص بمؤشرات أداء رئيسية (KPIs) قابلة للقياس لمتابعة فعالية خطط الاستجابة بمرور الوقت."/>
    <s v="حدّدي لكل مخاطرة رئيسية مؤشر أداء واحدًا على الأقل وراجعيه ضمن مراجعة الإدارة الدورية."/>
    <x v="2"/>
    <x v="2"/>
    <m/>
    <m/>
    <s v="سجل المخاطر يفتقر لمؤشرات أداء كمية لمتابعة فعالية خطط الاستجابة."/>
    <x v="3"/>
    <x v="3"/>
    <s v="تحديد مؤشرات أداء قابلة للقياس لأهم 5 مخاطر في السجل ومتابعتها ربع سنويًا."/>
    <x v="0"/>
    <x v="20"/>
    <x v="3"/>
    <s v="لا"/>
    <m/>
  </r>
  <r>
    <n v="27"/>
    <x v="3"/>
    <m/>
    <s v="توثيق خطة إحلال (Succession Plan) للأدوار الحرجة (مثل مسؤول الحياد والمفتشين الرئيسيين) لضمان استمرارية الكفاءة."/>
    <s v="حدّدي الأدوار الحرجة ووثّقي لكل دور خطة إحلال أو تأهيل بديل معتمد."/>
    <x v="2"/>
    <x v="2"/>
    <m/>
    <m/>
    <s v="لا توجد خطة إحلال موثّقة للأدوار الحرجة؛ الاعتماد حاليًا على أفراد بعينهم دون بديل مؤهَّل موثّق."/>
    <x v="0"/>
    <x v="0"/>
    <s v="إعداد خطة إحلال موثّقة للأدوار الحرجة واعتمادها من الإدارة العليا."/>
    <x v="4"/>
    <x v="21"/>
    <x v="2"/>
    <s v="لا"/>
    <m/>
  </r>
  <r>
    <n v="28"/>
    <x v="4"/>
    <m/>
    <s v="توثيق معايير موضوعية وقابلة للتكرار للتعامل مع الحالات الحدّية (Borderline Cases) في قرار المطابقة أو عدم المطابقة."/>
    <s v="أضيفي ملحقًا فنيًا لإجراء التفتيش يوضّح أمثلة للحالات الحدّية وكيفية اتخاذ القرار فيها بثبات."/>
    <x v="0"/>
    <x v="0"/>
    <m/>
    <s v="EV-20"/>
    <s v="التعامل مع الحالات الحدّية متروك للتقدير الشخصي للمفتش دون معايير موثّقة كافية."/>
    <x v="0"/>
    <x v="2"/>
    <s v="توثيق ملحق فني بمعايير اتخاذ القرار في الحالات الحدّية وتدريب المفتشين عليه."/>
    <x v="0"/>
    <x v="22"/>
    <x v="0"/>
    <s v="لا"/>
    <m/>
  </r>
  <r>
    <n v="29"/>
    <x v="4"/>
    <m/>
    <s v="مراجعة وتحديث خطط أخذ العينات وأساليب المعاينة الإحصائية المستخدمة في أنشطة التفتيش، بما يتوافق مع أفضل الممارسات الحديثة."/>
    <s v="راجعي خطط أخذ العينات الحالية مقابل المعايير الإحصائية المعتمدة وحدّثيها إن لزم."/>
    <x v="1"/>
    <x v="1"/>
    <m/>
    <s v="EV-21"/>
    <m/>
    <x v="1"/>
    <x v="1"/>
    <m/>
    <x v="1"/>
    <x v="1"/>
    <x v="1"/>
    <m/>
    <m/>
  </r>
  <r>
    <n v="30"/>
    <x v="5"/>
    <m/>
    <s v="توثيق سياسة نسخ احتياطي واستعادة (Backup &amp; Recovery) رسمية للسجلات الإلكترونية الحرجة، مع اختبار دوري لفعاليتها."/>
    <s v="وثّقي دورية النسخ الاحتياطي وموقع الحفظ ونتائج آخر اختبار استعادة فعلي."/>
    <x v="0"/>
    <x v="0"/>
    <m/>
    <s v="EV-22"/>
    <s v="النسخ الاحتياطي يتم تلقائيًا عبر النظام لكن لا يوجد سجل اختبار استعادة دوري موثّق."/>
    <x v="0"/>
    <x v="0"/>
    <s v="توثيق وتنفيذ اختبار استعادة نصف سنوي للنسخ الاحتياطية وتسجيل النتائج."/>
    <x v="5"/>
    <x v="23"/>
    <x v="0"/>
    <s v="لا"/>
    <m/>
  </r>
  <r>
    <n v="31"/>
    <x v="5"/>
    <m/>
    <s v="تحديد ضوابط صريحة للاحتفاظ بسجلات التفتيش والأدلة الإلكترونية لمدة كافية تفي بمتطلبات جهة الاعتماد والعقود مع العملاء."/>
    <s v="راجعي سياسة الاحتفاظ بالسجلات الحالية وقارنيها بمتطلبات جهة الاعتماد ومدد العقود مع العملاء."/>
    <x v="1"/>
    <x v="1"/>
    <m/>
    <s v="EV-23"/>
    <m/>
    <x v="1"/>
    <x v="1"/>
    <m/>
    <x v="1"/>
    <x v="1"/>
    <x v="1"/>
    <m/>
    <m/>
  </r>
  <r>
    <n v="32"/>
    <x v="6"/>
    <m/>
    <s v="قياس رضا العملاء بشكل دوري ومنهجي (استبيان أو مقابلة) وربط النتائج بمدخلات مراجعة الإدارة وخطط التحسين."/>
    <s v="صمّمي استبيان رضا عملاء قصيرًا وأطلقيه دوريًا، ووثّقي تحليل النتائج ومناقشتها في مراجعة الإدارة."/>
    <x v="2"/>
    <x v="2"/>
    <m/>
    <m/>
    <s v="لا يوجد قياس منهجي لرضا العملاء؛ التغذية الراجعة تصل بشكل غير رسمي فقط عبر الشكاوى."/>
    <x v="3"/>
    <x v="2"/>
    <s v="تصميم وإطلاق استبيان رضا عملاء نصف سنوي وربط نتائجه بمراجعة الإدارة."/>
    <x v="0"/>
    <x v="6"/>
    <x v="3"/>
    <s v="لا"/>
    <m/>
  </r>
  <r>
    <n v="33"/>
    <x v="7"/>
    <m/>
    <s v="التأكد من استقلالية القرار في التعامل مع أي شكوى أو تظلم يخص عضوًا في لجنة الحياد أو الإدارة العليا، عبر آلية تصعيد بديلة."/>
    <s v="وثّقي مسار تصعيد بديل (لطرف ثالث محايد أو لجنة استثنائية) عند وجود تعارض مصالح في معالجة شكوى معينة."/>
    <x v="0"/>
    <x v="0"/>
    <m/>
    <s v="EV-24"/>
    <s v="مسار التصعيد البديل عند تعارض المصالح مذكور بشكل عام دون تفصيل الآلية العملية."/>
    <x v="3"/>
    <x v="3"/>
    <s v="تفصيل آلية التصعيد البديل لحالات تعارض المصالح ضمن إجراء الشكاوى والتظلمات."/>
    <x v="0"/>
    <x v="8"/>
    <x v="3"/>
    <s v="لا"/>
    <m/>
  </r>
  <r>
    <n v="34"/>
    <x v="8"/>
    <m/>
    <s v="توثيق وتفعيل منهجية لإدارة المعرفة التنظيمية (Organizational Knowledge) بما يضمن الاحتفاظ بالخبرات الفنية الحرجة."/>
    <s v="حدّدي المعرفة الحرجة (خبرات المفتشين الأقدم، دروس مستفادة من حالات معقّدة) ووثّقيها ضمن نظام مركزي."/>
    <x v="0"/>
    <x v="1"/>
    <m/>
    <s v="EV-25"/>
    <s v="توثيق المعرفة التنظيمية يتم بشكل غير منتظم ويعتمد على مبادرات فردية."/>
    <x v="5"/>
    <x v="3"/>
    <s v="بناء مستودع مركزي موثّق للمعرفة التنظيمية الحرجة وتحديثه دوريًا."/>
    <x v="0"/>
    <x v="24"/>
    <x v="4"/>
    <s v="نعم"/>
    <d v="2026-08-22T00:00:00"/>
  </r>
  <r>
    <n v="35"/>
    <x v="9"/>
    <m/>
    <s v="إجراء تقييم ذاتي شامل (Self-Assessment) وفق النسخة المحدَّثة قبل طلب زيارة التقييم الرسمية من جهة الاعتماد."/>
    <s v="استخدمي هذه الأداة نفسها كأساس للتقييم الذاتي الشامل قبل التواصل الرسمي لطلب زيارة التقييم."/>
    <x v="2"/>
    <x v="2"/>
    <m/>
    <m/>
    <s v="لم يُجرَ بعد تقييم ذاتي شامل ومكتمل وفق جميع بنود النسخة المحدَّثة."/>
    <x v="0"/>
    <x v="0"/>
    <s v="استكمال التقييم الذاتي الشامل عبر هذه الأداة وتوثيق النتيجة النهائية قبل طلب زيارة التقييم."/>
    <x v="0"/>
    <x v="25"/>
    <x v="2"/>
    <s v="لا"/>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42922D0-F6A1-4298-8032-0D25C738F25B}" name="PivotTable1" cacheId="52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7">
  <location ref="A3:B14" firstHeaderRow="1" firstDataRow="1" firstDataCol="1"/>
  <pivotFields count="18">
    <pivotField showAll="0"/>
    <pivotField axis="axisRow" showAll="0">
      <items count="11">
        <item x="9"/>
        <item x="5"/>
        <item x="0"/>
        <item x="1"/>
        <item x="7"/>
        <item x="6"/>
        <item x="2"/>
        <item x="3"/>
        <item x="4"/>
        <item x="8"/>
        <item t="default"/>
      </items>
    </pivotField>
    <pivotField showAll="0"/>
    <pivotField showAll="0"/>
    <pivotField showAll="0"/>
    <pivotField dataField="1" showAll="0">
      <items count="5">
        <item x="2"/>
        <item x="3"/>
        <item x="1"/>
        <item x="0"/>
        <item t="default"/>
      </items>
    </pivotField>
    <pivotField showAll="0"/>
    <pivotField showAll="0"/>
    <pivotField showAll="0"/>
    <pivotField showAll="0"/>
    <pivotField showAll="0">
      <items count="7">
        <item x="3"/>
        <item x="2"/>
        <item x="0"/>
        <item x="4"/>
        <item x="5"/>
        <item x="1"/>
        <item t="default"/>
      </items>
    </pivotField>
    <pivotField showAll="0">
      <items count="5">
        <item x="0"/>
        <item x="2"/>
        <item x="3"/>
        <item x="1"/>
        <item t="default"/>
      </items>
    </pivotField>
    <pivotField showAll="0"/>
    <pivotField showAll="0">
      <items count="8">
        <item x="3"/>
        <item x="0"/>
        <item x="6"/>
        <item x="2"/>
        <item x="4"/>
        <item x="5"/>
        <item x="1"/>
        <item t="default"/>
      </items>
    </pivotField>
    <pivotField showAll="0">
      <items count="27">
        <item x="17"/>
        <item x="24"/>
        <item x="15"/>
        <item x="21"/>
        <item x="2"/>
        <item x="19"/>
        <item x="25"/>
        <item x="5"/>
        <item x="9"/>
        <item x="16"/>
        <item x="4"/>
        <item x="10"/>
        <item x="0"/>
        <item x="7"/>
        <item x="23"/>
        <item x="12"/>
        <item x="3"/>
        <item x="22"/>
        <item x="11"/>
        <item x="6"/>
        <item x="14"/>
        <item x="18"/>
        <item x="8"/>
        <item x="20"/>
        <item x="13"/>
        <item x="1"/>
        <item t="default"/>
      </items>
    </pivotField>
    <pivotField showAll="0">
      <items count="7">
        <item x="5"/>
        <item x="0"/>
        <item x="3"/>
        <item x="2"/>
        <item x="4"/>
        <item x="1"/>
        <item t="default"/>
      </items>
    </pivotField>
    <pivotField showAll="0"/>
    <pivotField showAll="0"/>
  </pivotFields>
  <rowFields count="1">
    <field x="1"/>
  </rowFields>
  <rowItems count="11">
    <i>
      <x/>
    </i>
    <i>
      <x v="1"/>
    </i>
    <i>
      <x v="2"/>
    </i>
    <i>
      <x v="3"/>
    </i>
    <i>
      <x v="4"/>
    </i>
    <i>
      <x v="5"/>
    </i>
    <i>
      <x v="6"/>
    </i>
    <i>
      <x v="7"/>
    </i>
    <i>
      <x v="8"/>
    </i>
    <i>
      <x v="9"/>
    </i>
    <i t="grand">
      <x/>
    </i>
  </rowItems>
  <colItems count="1">
    <i/>
  </colItems>
  <dataFields count="1">
    <dataField name="Count of الحالة الحالية" fld="5" subtotal="count" baseField="1" baseItem="0"/>
  </dataFields>
  <chartFormats count="1">
    <chartFormat chart="5"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BE1C6BB-BC09-421B-B008-71F776DCEBD7}" name="PivotTable3" cacheId="52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4">
  <location ref="G3:H10" firstHeaderRow="1" firstDataRow="1" firstDataCol="1"/>
  <pivotFields count="18">
    <pivotField dataField="1" showAll="0"/>
    <pivotField showAll="0">
      <items count="11">
        <item x="9"/>
        <item x="5"/>
        <item x="0"/>
        <item x="1"/>
        <item x="7"/>
        <item x="6"/>
        <item x="2"/>
        <item x="3"/>
        <item x="4"/>
        <item x="8"/>
        <item t="default"/>
      </items>
    </pivotField>
    <pivotField showAll="0"/>
    <pivotField showAll="0"/>
    <pivotField showAll="0"/>
    <pivotField showAll="0">
      <items count="5">
        <item x="2"/>
        <item x="3"/>
        <item x="1"/>
        <item x="0"/>
        <item t="default"/>
      </items>
    </pivotField>
    <pivotField showAll="0"/>
    <pivotField showAll="0"/>
    <pivotField showAll="0"/>
    <pivotField showAll="0"/>
    <pivotField axis="axisRow" showAll="0">
      <items count="7">
        <item x="3"/>
        <item x="2"/>
        <item x="0"/>
        <item x="4"/>
        <item x="5"/>
        <item x="1"/>
        <item t="default"/>
      </items>
    </pivotField>
    <pivotField showAll="0">
      <items count="5">
        <item x="0"/>
        <item x="2"/>
        <item x="3"/>
        <item x="1"/>
        <item t="default"/>
      </items>
    </pivotField>
    <pivotField showAll="0"/>
    <pivotField showAll="0">
      <items count="8">
        <item x="3"/>
        <item x="0"/>
        <item x="6"/>
        <item x="2"/>
        <item x="4"/>
        <item x="5"/>
        <item x="1"/>
        <item t="default"/>
      </items>
    </pivotField>
    <pivotField showAll="0">
      <items count="27">
        <item x="17"/>
        <item x="24"/>
        <item x="15"/>
        <item x="21"/>
        <item x="2"/>
        <item x="19"/>
        <item x="25"/>
        <item x="5"/>
        <item x="9"/>
        <item x="16"/>
        <item x="4"/>
        <item x="10"/>
        <item x="0"/>
        <item x="7"/>
        <item x="23"/>
        <item x="12"/>
        <item x="3"/>
        <item x="22"/>
        <item x="11"/>
        <item x="6"/>
        <item x="14"/>
        <item x="18"/>
        <item x="8"/>
        <item x="20"/>
        <item x="13"/>
        <item x="1"/>
        <item t="default"/>
      </items>
    </pivotField>
    <pivotField showAll="0">
      <items count="7">
        <item x="5"/>
        <item x="0"/>
        <item x="3"/>
        <item x="2"/>
        <item x="4"/>
        <item x="1"/>
        <item t="default"/>
      </items>
    </pivotField>
    <pivotField showAll="0"/>
    <pivotField showAll="0"/>
  </pivotFields>
  <rowFields count="1">
    <field x="10"/>
  </rowFields>
  <rowItems count="7">
    <i>
      <x/>
    </i>
    <i>
      <x v="1"/>
    </i>
    <i>
      <x v="2"/>
    </i>
    <i>
      <x v="3"/>
    </i>
    <i>
      <x v="4"/>
    </i>
    <i>
      <x v="5"/>
    </i>
    <i t="grand">
      <x/>
    </i>
  </rowItems>
  <colItems count="1">
    <i/>
  </colItems>
  <dataFields count="1">
    <dataField name="Count of الرقم" fld="0" subtotal="count" baseField="10" baseItem="0"/>
  </dataFields>
  <chartFormats count="5">
    <chartFormat chart="3" format="2" series="1">
      <pivotArea type="data" outline="0" fieldPosition="0">
        <references count="1">
          <reference field="4294967294" count="1" selected="0">
            <x v="0"/>
          </reference>
        </references>
      </pivotArea>
    </chartFormat>
    <chartFormat chart="3" format="3">
      <pivotArea type="data" outline="0" fieldPosition="0">
        <references count="2">
          <reference field="4294967294" count="1" selected="0">
            <x v="0"/>
          </reference>
          <reference field="10" count="1" selected="0">
            <x v="1"/>
          </reference>
        </references>
      </pivotArea>
    </chartFormat>
    <chartFormat chart="3" format="4">
      <pivotArea type="data" outline="0" fieldPosition="0">
        <references count="2">
          <reference field="4294967294" count="1" selected="0">
            <x v="0"/>
          </reference>
          <reference field="10" count="1" selected="0">
            <x v="2"/>
          </reference>
        </references>
      </pivotArea>
    </chartFormat>
    <chartFormat chart="3" format="5">
      <pivotArea type="data" outline="0" fieldPosition="0">
        <references count="2">
          <reference field="4294967294" count="1" selected="0">
            <x v="0"/>
          </reference>
          <reference field="10" count="1" selected="0">
            <x v="4"/>
          </reference>
        </references>
      </pivotArea>
    </chartFormat>
    <chartFormat chart="3" format="6">
      <pivotArea type="data" outline="0" fieldPosition="0">
        <references count="2">
          <reference field="4294967294" count="1" selected="0">
            <x v="0"/>
          </reference>
          <reference field="10"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6C25EB4-4FBC-4560-9A91-F39BE6509C1C}" name="PivotTable5" cacheId="52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4">
  <location ref="M3:N8" firstHeaderRow="1" firstDataRow="1" firstDataCol="1"/>
  <pivotFields count="18">
    <pivotField dataField="1" showAll="0"/>
    <pivotField showAll="0">
      <items count="11">
        <item x="9"/>
        <item x="5"/>
        <item x="0"/>
        <item x="1"/>
        <item x="7"/>
        <item x="6"/>
        <item x="2"/>
        <item x="3"/>
        <item x="4"/>
        <item x="8"/>
        <item t="default"/>
      </items>
    </pivotField>
    <pivotField showAll="0"/>
    <pivotField showAll="0"/>
    <pivotField showAll="0"/>
    <pivotField showAll="0">
      <items count="5">
        <item x="2"/>
        <item x="3"/>
        <item x="1"/>
        <item x="0"/>
        <item t="default"/>
      </items>
    </pivotField>
    <pivotField showAll="0"/>
    <pivotField showAll="0"/>
    <pivotField showAll="0"/>
    <pivotField showAll="0"/>
    <pivotField showAll="0">
      <items count="7">
        <item x="3"/>
        <item x="2"/>
        <item x="0"/>
        <item x="4"/>
        <item x="5"/>
        <item x="1"/>
        <item t="default"/>
      </items>
    </pivotField>
    <pivotField axis="axisRow" showAll="0">
      <items count="5">
        <item x="0"/>
        <item x="2"/>
        <item x="3"/>
        <item x="1"/>
        <item t="default"/>
      </items>
    </pivotField>
    <pivotField showAll="0"/>
    <pivotField showAll="0">
      <items count="8">
        <item x="3"/>
        <item x="0"/>
        <item x="6"/>
        <item x="2"/>
        <item x="4"/>
        <item x="5"/>
        <item x="1"/>
        <item t="default"/>
      </items>
    </pivotField>
    <pivotField showAll="0">
      <items count="27">
        <item x="17"/>
        <item x="24"/>
        <item x="15"/>
        <item x="21"/>
        <item x="2"/>
        <item x="19"/>
        <item x="25"/>
        <item x="5"/>
        <item x="9"/>
        <item x="16"/>
        <item x="4"/>
        <item x="10"/>
        <item x="0"/>
        <item x="7"/>
        <item x="23"/>
        <item x="12"/>
        <item x="3"/>
        <item x="22"/>
        <item x="11"/>
        <item x="6"/>
        <item x="14"/>
        <item x="18"/>
        <item x="8"/>
        <item x="20"/>
        <item x="13"/>
        <item x="1"/>
        <item t="default"/>
      </items>
    </pivotField>
    <pivotField showAll="0">
      <items count="7">
        <item x="5"/>
        <item x="0"/>
        <item x="3"/>
        <item x="2"/>
        <item x="4"/>
        <item x="1"/>
        <item t="default"/>
      </items>
    </pivotField>
    <pivotField showAll="0"/>
    <pivotField showAll="0"/>
  </pivotFields>
  <rowFields count="1">
    <field x="11"/>
  </rowFields>
  <rowItems count="5">
    <i>
      <x/>
    </i>
    <i>
      <x v="1"/>
    </i>
    <i>
      <x v="2"/>
    </i>
    <i>
      <x v="3"/>
    </i>
    <i t="grand">
      <x/>
    </i>
  </rowItems>
  <colItems count="1">
    <i/>
  </colItems>
  <dataFields count="1">
    <dataField name="Count of الرقم" fld="0" subtotal="count" baseField="11" baseItem="0"/>
  </dataFields>
  <chartFormats count="5">
    <chartFormat chart="3" format="6" series="1">
      <pivotArea type="data" outline="0" fieldPosition="0">
        <references count="1">
          <reference field="4294967294" count="1" selected="0">
            <x v="0"/>
          </reference>
        </references>
      </pivotArea>
    </chartFormat>
    <chartFormat chart="3" format="7">
      <pivotArea type="data" outline="0" fieldPosition="0">
        <references count="2">
          <reference field="4294967294" count="1" selected="0">
            <x v="0"/>
          </reference>
          <reference field="11" count="1" selected="0">
            <x v="0"/>
          </reference>
        </references>
      </pivotArea>
    </chartFormat>
    <chartFormat chart="3" format="8">
      <pivotArea type="data" outline="0" fieldPosition="0">
        <references count="2">
          <reference field="4294967294" count="1" selected="0">
            <x v="0"/>
          </reference>
          <reference field="11" count="1" selected="0">
            <x v="1"/>
          </reference>
        </references>
      </pivotArea>
    </chartFormat>
    <chartFormat chart="3" format="9">
      <pivotArea type="data" outline="0" fieldPosition="0">
        <references count="2">
          <reference field="4294967294" count="1" selected="0">
            <x v="0"/>
          </reference>
          <reference field="11" count="1" selected="0">
            <x v="2"/>
          </reference>
        </references>
      </pivotArea>
    </chartFormat>
    <chartFormat chart="3" format="10">
      <pivotArea type="data" outline="0" fieldPosition="0">
        <references count="2">
          <reference field="4294967294" count="1" selected="0">
            <x v="0"/>
          </reference>
          <reference field="11"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A078E340-42BC-45A7-A92F-1FAAFD720A16}" name="PivotTable6" cacheId="48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4">
  <location ref="P3:Q8" firstHeaderRow="1" firstDataRow="1" firstDataCol="1"/>
  <pivotFields count="5">
    <pivotField showAll="0"/>
    <pivotField axis="axisRow" showAll="0">
      <items count="5">
        <item x="0"/>
        <item x="1"/>
        <item x="2"/>
        <item x="3"/>
        <item t="default"/>
      </items>
    </pivotField>
    <pivotField dataField="1" showAll="0"/>
    <pivotField showAll="0"/>
    <pivotField showAll="0"/>
  </pivotFields>
  <rowFields count="1">
    <field x="1"/>
  </rowFields>
  <rowItems count="5">
    <i>
      <x/>
    </i>
    <i>
      <x v="1"/>
    </i>
    <i>
      <x v="2"/>
    </i>
    <i>
      <x v="3"/>
    </i>
    <i t="grand">
      <x/>
    </i>
  </rowItems>
  <colItems count="1">
    <i/>
  </colItems>
  <dataFields count="1">
    <dataField name="Count of البند" fld="2" subtotal="count" baseField="0" baseItem="0"/>
  </dataFields>
  <chartFormats count="5">
    <chartFormat chart="3" format="2" series="1">
      <pivotArea type="data" outline="0" fieldPosition="0">
        <references count="1">
          <reference field="4294967294" count="1" selected="0">
            <x v="0"/>
          </reference>
        </references>
      </pivotArea>
    </chartFormat>
    <chartFormat chart="3" format="3">
      <pivotArea type="data" outline="0" fieldPosition="0">
        <references count="2">
          <reference field="4294967294" count="1" selected="0">
            <x v="0"/>
          </reference>
          <reference field="1" count="1" selected="0">
            <x v="0"/>
          </reference>
        </references>
      </pivotArea>
    </chartFormat>
    <chartFormat chart="3" format="4">
      <pivotArea type="data" outline="0" fieldPosition="0">
        <references count="2">
          <reference field="4294967294" count="1" selected="0">
            <x v="0"/>
          </reference>
          <reference field="1" count="1" selected="0">
            <x v="1"/>
          </reference>
        </references>
      </pivotArea>
    </chartFormat>
    <chartFormat chart="3" format="5">
      <pivotArea type="data" outline="0" fieldPosition="0">
        <references count="2">
          <reference field="4294967294" count="1" selected="0">
            <x v="0"/>
          </reference>
          <reference field="1" count="1" selected="0">
            <x v="2"/>
          </reference>
        </references>
      </pivotArea>
    </chartFormat>
    <chartFormat chart="3" format="6">
      <pivotArea type="data" outline="0" fieldPosition="0">
        <references count="2">
          <reference field="4294967294" count="1" selected="0">
            <x v="0"/>
          </reference>
          <reference field="1"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D3882E-21F5-4920-B926-7B8FAC2C1A5D}" name="PivotTable4" cacheId="48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4">
  <location ref="J3:K9" firstHeaderRow="1" firstDataRow="1" firstDataCol="1"/>
  <pivotFields count="13">
    <pivotField dataField="1" showAll="0"/>
    <pivotField showAll="0"/>
    <pivotField showAll="0"/>
    <pivotField showAll="0"/>
    <pivotField showAll="0"/>
    <pivotField showAll="0"/>
    <pivotField showAll="0"/>
    <pivotField numFmtId="164" showAll="0"/>
    <pivotField axis="axisRow" showAll="0">
      <items count="6">
        <item x="4"/>
        <item x="0"/>
        <item x="2"/>
        <item x="1"/>
        <item x="3"/>
        <item t="default"/>
      </items>
    </pivotField>
    <pivotField showAll="0"/>
    <pivotField showAll="0"/>
    <pivotField showAll="0"/>
    <pivotField showAll="0"/>
  </pivotFields>
  <rowFields count="1">
    <field x="8"/>
  </rowFields>
  <rowItems count="6">
    <i>
      <x/>
    </i>
    <i>
      <x v="1"/>
    </i>
    <i>
      <x v="2"/>
    </i>
    <i>
      <x v="3"/>
    </i>
    <i>
      <x v="4"/>
    </i>
    <i t="grand">
      <x/>
    </i>
  </rowItems>
  <colItems count="1">
    <i/>
  </colItems>
  <dataFields count="1">
    <dataField name="Count of رقم الإجراء" fld="0" subtotal="count" baseField="0" baseItem="0"/>
  </dataFields>
  <chartFormats count="6">
    <chartFormat chart="3" format="2" series="1">
      <pivotArea type="data" outline="0" fieldPosition="0">
        <references count="1">
          <reference field="4294967294" count="1" selected="0">
            <x v="0"/>
          </reference>
        </references>
      </pivotArea>
    </chartFormat>
    <chartFormat chart="3" format="3">
      <pivotArea type="data" outline="0" fieldPosition="0">
        <references count="2">
          <reference field="4294967294" count="1" selected="0">
            <x v="0"/>
          </reference>
          <reference field="8" count="1" selected="0">
            <x v="4"/>
          </reference>
        </references>
      </pivotArea>
    </chartFormat>
    <chartFormat chart="3" format="4">
      <pivotArea type="data" outline="0" fieldPosition="0">
        <references count="2">
          <reference field="4294967294" count="1" selected="0">
            <x v="0"/>
          </reference>
          <reference field="8" count="1" selected="0">
            <x v="0"/>
          </reference>
        </references>
      </pivotArea>
    </chartFormat>
    <chartFormat chart="3" format="5">
      <pivotArea type="data" outline="0" fieldPosition="0">
        <references count="2">
          <reference field="4294967294" count="1" selected="0">
            <x v="0"/>
          </reference>
          <reference field="8" count="1" selected="0">
            <x v="1"/>
          </reference>
        </references>
      </pivotArea>
    </chartFormat>
    <chartFormat chart="3" format="6">
      <pivotArea type="data" outline="0" fieldPosition="0">
        <references count="2">
          <reference field="4294967294" count="1" selected="0">
            <x v="0"/>
          </reference>
          <reference field="8" count="1" selected="0">
            <x v="2"/>
          </reference>
        </references>
      </pivotArea>
    </chartFormat>
    <chartFormat chart="3" format="7">
      <pivotArea type="data" outline="0" fieldPosition="0">
        <references count="2">
          <reference field="4294967294" count="1" selected="0">
            <x v="0"/>
          </reference>
          <reference field="8"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667EFDA-92B3-4118-9D4C-421B9660924E}" name="PivotTable2" cacheId="52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5">
  <location ref="D3:E8" firstHeaderRow="1" firstDataRow="1" firstDataCol="1"/>
  <pivotFields count="18">
    <pivotField dataField="1" showAll="0"/>
    <pivotField showAll="0">
      <items count="11">
        <item x="9"/>
        <item x="5"/>
        <item x="0"/>
        <item x="1"/>
        <item x="7"/>
        <item x="6"/>
        <item x="2"/>
        <item x="3"/>
        <item x="4"/>
        <item x="8"/>
        <item t="default"/>
      </items>
    </pivotField>
    <pivotField showAll="0"/>
    <pivotField showAll="0"/>
    <pivotField showAll="0"/>
    <pivotField axis="axisRow" showAll="0">
      <items count="5">
        <item x="2"/>
        <item x="3"/>
        <item x="1"/>
        <item x="0"/>
        <item t="default"/>
      </items>
    </pivotField>
    <pivotField showAll="0"/>
    <pivotField showAll="0"/>
    <pivotField showAll="0"/>
    <pivotField showAll="0"/>
    <pivotField showAll="0">
      <items count="7">
        <item x="3"/>
        <item x="2"/>
        <item x="0"/>
        <item x="4"/>
        <item x="5"/>
        <item x="1"/>
        <item t="default"/>
      </items>
    </pivotField>
    <pivotField showAll="0">
      <items count="5">
        <item x="0"/>
        <item x="2"/>
        <item x="3"/>
        <item x="1"/>
        <item t="default"/>
      </items>
    </pivotField>
    <pivotField showAll="0"/>
    <pivotField showAll="0">
      <items count="8">
        <item x="3"/>
        <item x="0"/>
        <item x="6"/>
        <item x="2"/>
        <item x="4"/>
        <item x="5"/>
        <item x="1"/>
        <item t="default"/>
      </items>
    </pivotField>
    <pivotField showAll="0">
      <items count="27">
        <item x="17"/>
        <item x="24"/>
        <item x="15"/>
        <item x="21"/>
        <item x="2"/>
        <item x="19"/>
        <item x="25"/>
        <item x="5"/>
        <item x="9"/>
        <item x="16"/>
        <item x="4"/>
        <item x="10"/>
        <item x="0"/>
        <item x="7"/>
        <item x="23"/>
        <item x="12"/>
        <item x="3"/>
        <item x="22"/>
        <item x="11"/>
        <item x="6"/>
        <item x="14"/>
        <item x="18"/>
        <item x="8"/>
        <item x="20"/>
        <item x="13"/>
        <item x="1"/>
        <item t="default"/>
      </items>
    </pivotField>
    <pivotField showAll="0">
      <items count="7">
        <item x="5"/>
        <item x="0"/>
        <item x="3"/>
        <item x="2"/>
        <item x="4"/>
        <item x="1"/>
        <item t="default"/>
      </items>
    </pivotField>
    <pivotField showAll="0"/>
    <pivotField showAll="0"/>
  </pivotFields>
  <rowFields count="1">
    <field x="5"/>
  </rowFields>
  <rowItems count="5">
    <i>
      <x/>
    </i>
    <i>
      <x v="1"/>
    </i>
    <i>
      <x v="2"/>
    </i>
    <i>
      <x v="3"/>
    </i>
    <i t="grand">
      <x/>
    </i>
  </rowItems>
  <colItems count="1">
    <i/>
  </colItems>
  <dataFields count="1">
    <dataField name="Count of الرقم" fld="0" subtotal="count" baseField="5" baseItem="0"/>
  </dataFields>
  <chartFormats count="5">
    <chartFormat chart="3" format="6" series="1">
      <pivotArea type="data" outline="0" fieldPosition="0">
        <references count="1">
          <reference field="4294967294" count="1" selected="0">
            <x v="0"/>
          </reference>
        </references>
      </pivotArea>
    </chartFormat>
    <chartFormat chart="3" format="7">
      <pivotArea type="data" outline="0" fieldPosition="0">
        <references count="2">
          <reference field="4294967294" count="1" selected="0">
            <x v="0"/>
          </reference>
          <reference field="5" count="1" selected="0">
            <x v="0"/>
          </reference>
        </references>
      </pivotArea>
    </chartFormat>
    <chartFormat chart="3" format="8">
      <pivotArea type="data" outline="0" fieldPosition="0">
        <references count="2">
          <reference field="4294967294" count="1" selected="0">
            <x v="0"/>
          </reference>
          <reference field="5" count="1" selected="0">
            <x v="1"/>
          </reference>
        </references>
      </pivotArea>
    </chartFormat>
    <chartFormat chart="3" format="9">
      <pivotArea type="data" outline="0" fieldPosition="0">
        <references count="2">
          <reference field="4294967294" count="1" selected="0">
            <x v="0"/>
          </reference>
          <reference field="5" count="1" selected="0">
            <x v="2"/>
          </reference>
        </references>
      </pivotArea>
    </chartFormat>
    <chartFormat chart="3" format="10">
      <pivotArea type="data" outline="0" fieldPosition="0">
        <references count="2">
          <reference field="4294967294" count="1" selected="0">
            <x v="0"/>
          </reference>
          <reference field="5"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2667EFDA-92B3-4118-9D4C-421B9660925F}" name="PivotTable8" cacheId="52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S3:T8" firstHeaderRow="1" firstDataRow="1" firstDataCol="1"/>
  <pivotFields count="18">
    <pivotField dataField="1" showAll="0"/>
    <pivotField showAll="0">
      <items count="11">
        <item x="9"/>
        <item x="5"/>
        <item x="0"/>
        <item x="1"/>
        <item x="7"/>
        <item x="6"/>
        <item x="2"/>
        <item x="3"/>
        <item x="4"/>
        <item x="8"/>
        <item t="default"/>
      </items>
    </pivotField>
    <pivotField showAll="0"/>
    <pivotField showAll="0"/>
    <pivotField showAll="0"/>
    <pivotField showAll="0">
      <items count="5">
        <item x="2"/>
        <item x="3"/>
        <item x="1"/>
        <item x="0"/>
        <item t="default"/>
      </items>
    </pivotField>
    <pivotField axis="axisRow" showAll="0">
      <items count="5">
        <item x="2"/>
        <item x="3"/>
        <item x="1"/>
        <item x="0"/>
        <item t="default"/>
      </items>
    </pivotField>
    <pivotField showAll="0"/>
    <pivotField showAll="0"/>
    <pivotField showAll="0"/>
    <pivotField showAll="0">
      <items count="7">
        <item x="3"/>
        <item x="2"/>
        <item x="0"/>
        <item x="4"/>
        <item x="5"/>
        <item x="1"/>
        <item t="default"/>
      </items>
    </pivotField>
    <pivotField showAll="0">
      <items count="5">
        <item x="0"/>
        <item x="2"/>
        <item x="3"/>
        <item x="1"/>
        <item t="default"/>
      </items>
    </pivotField>
    <pivotField showAll="0"/>
    <pivotField showAll="0">
      <items count="8">
        <item x="3"/>
        <item x="0"/>
        <item x="6"/>
        <item x="2"/>
        <item x="4"/>
        <item x="5"/>
        <item x="1"/>
        <item t="default"/>
      </items>
    </pivotField>
    <pivotField showAll="0">
      <items count="27">
        <item x="17"/>
        <item x="24"/>
        <item x="15"/>
        <item x="21"/>
        <item x="2"/>
        <item x="19"/>
        <item x="25"/>
        <item x="5"/>
        <item x="9"/>
        <item x="16"/>
        <item x="4"/>
        <item x="10"/>
        <item x="0"/>
        <item x="7"/>
        <item x="23"/>
        <item x="12"/>
        <item x="3"/>
        <item x="22"/>
        <item x="11"/>
        <item x="6"/>
        <item x="14"/>
        <item x="18"/>
        <item x="8"/>
        <item x="20"/>
        <item x="13"/>
        <item x="1"/>
        <item t="default"/>
      </items>
    </pivotField>
    <pivotField showAll="0">
      <items count="7">
        <item x="5"/>
        <item x="0"/>
        <item x="3"/>
        <item x="2"/>
        <item x="4"/>
        <item x="1"/>
        <item t="default"/>
      </items>
    </pivotField>
    <pivotField showAll="0"/>
    <pivotField showAll="0"/>
  </pivotFields>
  <rowFields count="1">
    <field x="6"/>
  </rowFields>
  <rowItems count="5">
    <i>
      <x/>
    </i>
    <i>
      <x v="1"/>
    </i>
    <i>
      <x v="2"/>
    </i>
    <i>
      <x v="3"/>
    </i>
    <i t="grand">
      <x/>
    </i>
  </rowItems>
  <colItems count="1">
    <i/>
  </colItems>
  <dataFields count="1">
    <dataField name="Count of الرقم" fld="0" subtotal="count" baseField="6"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6D015476-B395-4D79-BE4F-2C79C819183A}" name="PivotTable7" cacheId="52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J33:K38" firstHeaderRow="1" firstDataRow="1" firstDataCol="1"/>
  <pivotFields count="18">
    <pivotField dataField="1" showAll="0"/>
    <pivotField showAll="0">
      <items count="11">
        <item x="9"/>
        <item x="5"/>
        <item x="0"/>
        <item x="1"/>
        <item x="7"/>
        <item x="6"/>
        <item x="2"/>
        <item x="3"/>
        <item x="4"/>
        <item x="8"/>
        <item t="default"/>
      </items>
    </pivotField>
    <pivotField showAll="0"/>
    <pivotField showAll="0"/>
    <pivotField showAll="0"/>
    <pivotField axis="axisRow" showAll="0">
      <items count="5">
        <item x="2"/>
        <item x="3"/>
        <item x="1"/>
        <item x="0"/>
        <item t="default"/>
      </items>
    </pivotField>
    <pivotField showAll="0"/>
    <pivotField showAll="0"/>
    <pivotField showAll="0"/>
    <pivotField showAll="0"/>
    <pivotField showAll="0">
      <items count="7">
        <item x="3"/>
        <item x="2"/>
        <item x="0"/>
        <item x="4"/>
        <item x="5"/>
        <item x="1"/>
        <item t="default"/>
      </items>
    </pivotField>
    <pivotField showAll="0">
      <items count="5">
        <item x="0"/>
        <item x="2"/>
        <item x="3"/>
        <item x="1"/>
        <item t="default"/>
      </items>
    </pivotField>
    <pivotField showAll="0"/>
    <pivotField showAll="0">
      <items count="8">
        <item x="3"/>
        <item x="0"/>
        <item x="6"/>
        <item x="2"/>
        <item x="4"/>
        <item x="5"/>
        <item x="1"/>
        <item t="default"/>
      </items>
    </pivotField>
    <pivotField showAll="0">
      <items count="27">
        <item x="17"/>
        <item x="24"/>
        <item x="15"/>
        <item x="21"/>
        <item x="2"/>
        <item x="19"/>
        <item x="25"/>
        <item x="5"/>
        <item x="9"/>
        <item x="16"/>
        <item x="4"/>
        <item x="10"/>
        <item x="0"/>
        <item x="7"/>
        <item x="23"/>
        <item x="12"/>
        <item x="3"/>
        <item x="22"/>
        <item x="11"/>
        <item x="6"/>
        <item x="14"/>
        <item x="18"/>
        <item x="8"/>
        <item x="20"/>
        <item x="13"/>
        <item x="1"/>
        <item t="default"/>
      </items>
    </pivotField>
    <pivotField showAll="0">
      <items count="7">
        <item x="5"/>
        <item x="0"/>
        <item x="3"/>
        <item x="2"/>
        <item x="4"/>
        <item x="1"/>
        <item t="default"/>
      </items>
    </pivotField>
    <pivotField showAll="0"/>
    <pivotField showAll="0"/>
  </pivotFields>
  <rowFields count="1">
    <field x="5"/>
  </rowFields>
  <rowItems count="5">
    <i>
      <x/>
    </i>
    <i>
      <x v="1"/>
    </i>
    <i>
      <x v="2"/>
    </i>
    <i>
      <x v="3"/>
    </i>
    <i t="grand">
      <x/>
    </i>
  </rowItems>
  <colItems count="1">
    <i/>
  </colItems>
  <dataFields count="1">
    <dataField name="Count of الرقم" fld="0" subtotal="count" baseField="5"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المحور" xr10:uid="{52CA7073-6FDB-4AD6-BFA4-8DD451D11E7A}" sourceName="المحور">
  <pivotTables>
    <pivotTable tabId="14" name="PivotTable1"/>
    <pivotTable tabId="14" name="PivotTable2"/>
    <pivotTable tabId="14" name="PivotTable3"/>
    <pivotTable tabId="14" name="PivotTable5"/>
    <pivotTable tabId="14" name="PivotTable7"/>
    <pivotTable tabId="14" name="PivotTable8"/>
  </pivotTables>
  <data>
    <tabular pivotCacheId="383436898">
      <items count="10">
        <i x="9" s="1"/>
        <i x="5" s="1"/>
        <i x="0" s="1"/>
        <i x="1" s="1"/>
        <i x="7" s="1"/>
        <i x="6" s="1"/>
        <i x="2" s="1"/>
        <i x="3" s="1"/>
        <i x="4" s="1"/>
        <i x="8"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درجة_الفجوة" xr10:uid="{DF435C42-FE82-42A6-B05B-2099D208BE76}" sourceName="درجة الفجوة">
  <pivotTables>
    <pivotTable tabId="14" name="PivotTable1"/>
    <pivotTable tabId="14" name="PivotTable2"/>
    <pivotTable tabId="14" name="PivotTable3"/>
    <pivotTable tabId="14" name="PivotTable5"/>
    <pivotTable tabId="14" name="PivotTable7"/>
    <pivotTable tabId="14" name="PivotTable8"/>
  </pivotTables>
  <data>
    <tabular pivotCacheId="383436898">
      <items count="6">
        <i x="3" s="1"/>
        <i x="2" s="1"/>
        <i x="0" s="1"/>
        <i x="4" s="1"/>
        <i x="5" s="1"/>
        <i x="1"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الأولوية" xr10:uid="{44118B07-C02B-4074-89A3-AC71B4932CB2}" sourceName="الأولوية">
  <pivotTables>
    <pivotTable tabId="14" name="PivotTable1"/>
    <pivotTable tabId="14" name="PivotTable2"/>
    <pivotTable tabId="14" name="PivotTable3"/>
    <pivotTable tabId="14" name="PivotTable5"/>
    <pivotTable tabId="14" name="PivotTable7"/>
    <pivotTable tabId="14" name="PivotTable8"/>
  </pivotTables>
  <data>
    <tabular pivotCacheId="383436898">
      <items count="4">
        <i x="0" s="1"/>
        <i x="2" s="1"/>
        <i x="3" s="1"/>
        <i x="1"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المسؤول" xr10:uid="{66F353B5-D053-41B4-A1DB-14935707152E}" sourceName="المسؤول">
  <pivotTables>
    <pivotTable tabId="14" name="PivotTable1"/>
    <pivotTable tabId="14" name="PivotTable2"/>
    <pivotTable tabId="14" name="PivotTable3"/>
    <pivotTable tabId="14" name="PivotTable5"/>
    <pivotTable tabId="14" name="PivotTable7"/>
    <pivotTable tabId="14" name="PivotTable8"/>
  </pivotTables>
  <data>
    <tabular pivotCacheId="383436898">
      <items count="7">
        <i x="3" s="1"/>
        <i x="0" s="1"/>
        <i x="6" s="1"/>
        <i x="2" s="1"/>
        <i x="4" s="1"/>
        <i x="5" s="1"/>
        <i x="1"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تاريخ_الاستحقاق" xr10:uid="{5A5FFD52-602A-4FB8-9738-51A387C0642C}" sourceName="تاريخ الاستحقاق">
  <pivotTables>
    <pivotTable tabId="14" name="PivotTable1"/>
    <pivotTable tabId="14" name="PivotTable2"/>
    <pivotTable tabId="14" name="PivotTable3"/>
    <pivotTable tabId="14" name="PivotTable5"/>
    <pivotTable tabId="14" name="PivotTable7"/>
    <pivotTable tabId="14" name="PivotTable8"/>
  </pivotTables>
  <data>
    <tabular pivotCacheId="383436898">
      <items count="26">
        <i x="17" s="1"/>
        <i x="24" s="1"/>
        <i x="15" s="1"/>
        <i x="21" s="1"/>
        <i x="2" s="1"/>
        <i x="19" s="1"/>
        <i x="25" s="1"/>
        <i x="5" s="1"/>
        <i x="9" s="1"/>
        <i x="16" s="1"/>
        <i x="4" s="1"/>
        <i x="10" s="1"/>
        <i x="0" s="1"/>
        <i x="7" s="1"/>
        <i x="23" s="1"/>
        <i x="12" s="1"/>
        <i x="3" s="1"/>
        <i x="22" s="1"/>
        <i x="11" s="1"/>
        <i x="6" s="1"/>
        <i x="14" s="1"/>
        <i x="18" s="1"/>
        <i x="8" s="1"/>
        <i x="20" s="1"/>
        <i x="13" s="1"/>
        <i x="1" s="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حالة_الإجراء" xr10:uid="{B61CEA6F-A9DB-4A1F-8BAA-54FB5F8A19F6}" sourceName="حالة الإجراء">
  <pivotTables>
    <pivotTable tabId="14" name="PivotTable1"/>
    <pivotTable tabId="14" name="PivotTable2"/>
    <pivotTable tabId="14" name="PivotTable3"/>
    <pivotTable tabId="14" name="PivotTable5"/>
    <pivotTable tabId="14" name="PivotTable7"/>
    <pivotTable tabId="14" name="PivotTable8"/>
  </pivotTables>
  <data>
    <tabular pivotCacheId="383436898">
      <items count="6">
        <i x="5" s="1"/>
        <i x="0" s="1"/>
        <i x="3" s="1"/>
        <i x="2" s="1"/>
        <i x="4" s="1"/>
        <i x="1" s="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الحالة_الحالية" xr10:uid="{8C143274-0BAC-42E3-90FD-FC33ECB190C1}" sourceName="الحالة الحالية">
  <pivotTables>
    <pivotTable tabId="14" name="PivotTable1"/>
    <pivotTable tabId="14" name="PivotTable2"/>
    <pivotTable tabId="14" name="PivotTable3"/>
    <pivotTable tabId="14" name="PivotTable5"/>
    <pivotTable tabId="14" name="PivotTable7"/>
    <pivotTable tabId="14" name="PivotTable8"/>
  </pivotTables>
  <data>
    <tabular pivotCacheId="383436898">
      <items count="4">
        <i x="2" s="1"/>
        <i x="3" s="1"/>
        <i x="1" s="1"/>
        <i x="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المحور" xr10:uid="{4365DE7B-E12F-4271-8781-5989111FA25D}" cache="Slicer_المحور" caption="المحور" style="Slicer Style 1" rowHeight="203200"/>
  <slicer name="درجة الفجوة" xr10:uid="{DDD6EC97-5474-4E04-A3C9-DF4F5F0327D5}" cache="Slicer_درجة_الفجوة" caption="درجة الفجوة" startItem="2" style="Slicer Style 1" rowHeight="203200"/>
  <slicer name="الأولوية" xr10:uid="{46A3B49E-ED1C-46F5-BFD2-696695C7BD2C}" cache="Slicer_الأولوية" caption="الأولوية" style="Slicer Style 1" rowHeight="203200"/>
  <slicer name="المسؤول" xr10:uid="{3D61D432-B6FD-42A0-947D-6F0C931DE3F1}" cache="Slicer_المسؤول" caption="المسؤول" style="Slicer Style 1" rowHeight="203200"/>
  <slicer name="تاريخ الاستحقاق" xr10:uid="{2A7F9D4D-FB46-4094-AC55-906F7D59DD39}" cache="Slicer_تاريخ_الاستحقاق" caption="تاريخ الاستحقاق" style="Slicer Style 1" rowHeight="203200"/>
  <slicer name="حالة الإجراء" xr10:uid="{144BDDBB-D83D-4D54-9DE7-130B24D2E157}" cache="Slicer_حالة_الإجراء" caption="حالة الإجراء" style="Slicer Style 1" rowHeight="203200"/>
  <slicer name="الحالة الحالية" xr10:uid="{98251D64-336D-4178-B547-F80621B40274}" cache="Slicer_الحالة_الحالية" caption="الحالة الحالية" style="Slicer Style 1" rowHeight="2032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_GapAssessment" displayName="tbl_GapAssessment" ref="A5:R40">
  <autoFilter ref="A5:R40" xr:uid="{00000000-0009-0000-0100-000001000000}"/>
  <tableColumns count="18">
    <tableColumn id="1" xr3:uid="{00000000-0010-0000-0000-000001000000}" name="الرقم"/>
    <tableColumn id="2" xr3:uid="{00000000-0010-0000-0000-000002000000}" name="المحور"/>
    <tableColumn id="3" xr3:uid="{00000000-0010-0000-0000-000003000000}" name="مرجع البند"/>
    <tableColumn id="4" xr3:uid="{00000000-0010-0000-0000-000004000000}" name="المتطلب"/>
    <tableColumn id="5" xr3:uid="{00000000-0010-0000-0000-000005000000}" name="إرشادات التطبيق"/>
    <tableColumn id="6" xr3:uid="{00000000-0010-0000-0000-000006000000}" name="الحالة الحالية"/>
    <tableColumn id="7" xr3:uid="{00000000-0010-0000-0000-000007000000}" name="توفر الدليل"/>
    <tableColumn id="8" xr3:uid="{00000000-0010-0000-0000-000008000000}" name="مبرر عدم الانطباق"/>
    <tableColumn id="9" xr3:uid="{00000000-0010-0000-0000-000009000000}" name="مرجع الدليل"/>
    <tableColumn id="10" xr3:uid="{00000000-0010-0000-0000-00000A000000}" name="الفجوة / الملاحظة"/>
    <tableColumn id="11" xr3:uid="{00000000-0010-0000-0000-00000B000000}" name="درجة الفجوة"/>
    <tableColumn id="12" xr3:uid="{00000000-0010-0000-0000-00000C000000}" name="الأولوية"/>
    <tableColumn id="13" xr3:uid="{00000000-0010-0000-0000-00000D000000}" name="الإجراء المطلوب"/>
    <tableColumn id="14" xr3:uid="{00000000-0010-0000-0000-00000E000000}" name="المسؤول"/>
    <tableColumn id="15" xr3:uid="{00000000-0010-0000-0000-00000F000000}" name="تاريخ الاستحقاق"/>
    <tableColumn id="16" xr3:uid="{00000000-0010-0000-0000-000010000000}" name="حالة الإجراء"/>
    <tableColumn id="17" xr3:uid="{00000000-0010-0000-0000-000011000000}" name="التحقق من الإغلاق"/>
    <tableColumn id="18" xr3:uid="{00000000-0010-0000-0000-000012000000}" name="تاريخ الإغلاق"/>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_Evidence" displayName="tbl_Evidence" ref="A4:I34">
  <autoFilter ref="A4:I34" xr:uid="{00000000-0009-0000-0100-000002000000}"/>
  <tableColumns count="9">
    <tableColumn id="1" xr3:uid="{00000000-0010-0000-0100-000001000000}" name="رقم الدليل"/>
    <tableColumn id="2" xr3:uid="{00000000-0010-0000-0100-000002000000}" name="رقم المتطلب"/>
    <tableColumn id="3" xr3:uid="{00000000-0010-0000-0100-000003000000}" name="اسم الوثيقة / السجل"/>
    <tableColumn id="4" xr3:uid="{00000000-0010-0000-0100-000004000000}" name="رقم الوثيقة"/>
    <tableColumn id="5" xr3:uid="{00000000-0010-0000-0100-000005000000}" name="الإصدار"/>
    <tableColumn id="6" xr3:uid="{00000000-0010-0000-0100-000006000000}" name="نوع الدليل"/>
    <tableColumn id="7" xr3:uid="{00000000-0010-0000-0100-000007000000}" name="مكان الحفظ / الرابط"/>
    <tableColumn id="8" xr3:uid="{00000000-0010-0000-0100-000008000000}" name="حالة الدليل"/>
    <tableColumn id="9" xr3:uid="{00000000-0010-0000-0100-000009000000}" name="ملاحظات"/>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bl_Actions" displayName="tbl_Actions" ref="A4:M31">
  <autoFilter ref="A4:M31" xr:uid="{00000000-0009-0000-0100-000003000000}"/>
  <tableColumns count="13">
    <tableColumn id="1" xr3:uid="{00000000-0010-0000-0200-000001000000}" name="رقم الإجراء"/>
    <tableColumn id="2" xr3:uid="{00000000-0010-0000-0200-000002000000}" name="رقم المتطلب"/>
    <tableColumn id="3" xr3:uid="{00000000-0010-0000-0200-000003000000}" name="الفجوة"/>
    <tableColumn id="4" xr3:uid="{00000000-0010-0000-0200-000004000000}" name="درجة الفجوة"/>
    <tableColumn id="5" xr3:uid="{00000000-0010-0000-0200-000005000000}" name="الأولوية"/>
    <tableColumn id="6" xr3:uid="{00000000-0010-0000-0200-000006000000}" name="الإجراء المطلوب"/>
    <tableColumn id="7" xr3:uid="{00000000-0010-0000-0200-000007000000}" name="المسؤول"/>
    <tableColumn id="8" xr3:uid="{00000000-0010-0000-0200-000008000000}" name="تاريخ الاستحقاق"/>
    <tableColumn id="9" xr3:uid="{00000000-0010-0000-0200-000009000000}" name="حالة الإجراء"/>
    <tableColumn id="10" xr3:uid="{00000000-0010-0000-0200-00000A000000}" name="الأيام المتبقية"/>
    <tableColumn id="11" xr3:uid="{00000000-0010-0000-0200-00000B000000}" name="متأخر؟"/>
    <tableColumn id="12" xr3:uid="{00000000-0010-0000-0200-00000C000000}" name="التحقق"/>
    <tableColumn id="13" xr3:uid="{00000000-0010-0000-0200-00000D000000}" name="تاريخ الإغلاق"/>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bl_Roadmap" displayName="tbl_Roadmap" ref="A5:E25">
  <autoFilter ref="A5:E25" xr:uid="{00000000-0009-0000-0100-000004000000}"/>
  <tableColumns count="5">
    <tableColumn id="1" xr3:uid="{00000000-0010-0000-0300-000001000000}" name="م"/>
    <tableColumn id="2" xr3:uid="{00000000-0010-0000-0300-000002000000}" name="المرحلة"/>
    <tableColumn id="3" xr3:uid="{00000000-0010-0000-0300-000003000000}" name="البند"/>
    <tableColumn id="4" xr3:uid="{00000000-0010-0000-0300-000004000000}" name="الحالة"/>
    <tableColumn id="5" xr3:uid="{00000000-0010-0000-0300-000005000000}" name="ملاحظات"/>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56B616F-45F0-46C1-9277-5AB5FE42FD4C}">
  <we:reference id="wa200009404" version="1.0.0.8" store="en-US" storeType="OMEX"/>
  <we:alternateReferences>
    <we:reference id="wa200009404" version="1.0.0.8" store="" storeType="OMEX"/>
  </we:alternateReferences>
  <we:properties>
    <we:property name="claude.fileId" value="&quot;165b1352-5096-41eb-b2ca-b1a51089984c&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imtithal.store/" TargetMode="External"/><Relationship Id="rId1" Type="http://schemas.openxmlformats.org/officeDocument/2006/relationships/hyperlink" Target="https://imtithal.store/"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9.xml"/><Relationship Id="rId1" Type="http://schemas.openxmlformats.org/officeDocument/2006/relationships/hyperlink" Target="https://imtithal.store/"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imtithal.store/"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s://imtithal.store/"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s://imtithal.stor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imtithal.store/" TargetMode="External"/></Relationships>
</file>

<file path=xl/worksheets/_rels/sheet3.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imtithal.store/" TargetMode="External"/></Relationships>
</file>

<file path=xl/worksheets/_rels/sheet5.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hyperlink" Target="https://imtithal.store/"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hyperlink" Target="https://imtithal.store/" TargetMode="External"/></Relationships>
</file>

<file path=xl/worksheets/_rels/sheet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7.xml"/><Relationship Id="rId1" Type="http://schemas.openxmlformats.org/officeDocument/2006/relationships/hyperlink" Target="https://imtithal.stor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imtithal.sto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9A227"/>
    <pageSetUpPr fitToPage="1"/>
  </sheetPr>
  <dimension ref="A1:F43"/>
  <sheetViews>
    <sheetView showGridLines="0" rightToLeft="1" tabSelected="1" workbookViewId="0">
      <selection activeCell="L8" sqref="L8"/>
    </sheetView>
  </sheetViews>
  <sheetFormatPr defaultRowHeight="14" x14ac:dyDescent="0.3"/>
  <cols>
    <col min="1" max="1" width="14" customWidth="1"/>
    <col min="2" max="5" width="18" customWidth="1"/>
    <col min="6" max="6" width="14" customWidth="1"/>
  </cols>
  <sheetData>
    <row r="1" spans="1:6" x14ac:dyDescent="0.3">
      <c r="A1" s="68"/>
      <c r="B1" s="68"/>
      <c r="C1" s="68"/>
      <c r="D1" s="68"/>
      <c r="E1" s="68"/>
      <c r="F1" s="68"/>
    </row>
    <row r="2" spans="1:6" x14ac:dyDescent="0.3">
      <c r="A2" s="68"/>
      <c r="B2" s="69"/>
      <c r="C2" s="69"/>
      <c r="D2" s="69"/>
      <c r="E2" s="68"/>
      <c r="F2" s="68"/>
    </row>
    <row r="3" spans="1:6" x14ac:dyDescent="0.3">
      <c r="A3" s="68"/>
      <c r="B3" s="69"/>
      <c r="C3" s="69"/>
      <c r="D3" s="69"/>
      <c r="E3" s="68"/>
      <c r="F3" s="68"/>
    </row>
    <row r="4" spans="1:6" x14ac:dyDescent="0.3">
      <c r="A4" s="68"/>
      <c r="B4" s="69"/>
      <c r="C4" s="69"/>
      <c r="D4" s="69"/>
      <c r="E4" s="68"/>
      <c r="F4" s="68"/>
    </row>
    <row r="5" spans="1:6" ht="24.5" customHeight="1" x14ac:dyDescent="0.3">
      <c r="A5" s="68"/>
      <c r="B5" s="68"/>
      <c r="C5" s="68"/>
      <c r="D5" s="68"/>
      <c r="E5" s="68"/>
      <c r="F5" s="68"/>
    </row>
    <row r="7" spans="1:6" ht="30" customHeight="1" x14ac:dyDescent="0.3">
      <c r="A7" s="44" t="s">
        <v>0</v>
      </c>
      <c r="B7" s="39"/>
      <c r="C7" s="39"/>
      <c r="D7" s="39"/>
      <c r="E7" s="39"/>
      <c r="F7" s="39"/>
    </row>
    <row r="8" spans="1:6" ht="34" customHeight="1" x14ac:dyDescent="0.3">
      <c r="A8" s="41" t="s">
        <v>1</v>
      </c>
      <c r="B8" s="39"/>
      <c r="C8" s="39"/>
      <c r="D8" s="39"/>
      <c r="E8" s="39"/>
      <c r="F8" s="39"/>
    </row>
    <row r="9" spans="1:6" ht="22" customHeight="1" x14ac:dyDescent="0.3">
      <c r="A9" s="46" t="s">
        <v>2</v>
      </c>
      <c r="B9" s="39"/>
      <c r="C9" s="39"/>
      <c r="D9" s="39"/>
      <c r="E9" s="39"/>
      <c r="F9" s="39"/>
    </row>
    <row r="11" spans="1:6" x14ac:dyDescent="0.3">
      <c r="A11" s="36" t="s">
        <v>3</v>
      </c>
      <c r="B11" s="37"/>
      <c r="C11" s="37"/>
      <c r="D11" s="37"/>
      <c r="E11" s="37"/>
      <c r="F11" s="37"/>
    </row>
    <row r="12" spans="1:6" x14ac:dyDescent="0.3">
      <c r="A12" s="37"/>
      <c r="B12" s="37"/>
      <c r="C12" s="37"/>
      <c r="D12" s="37"/>
      <c r="E12" s="37"/>
      <c r="F12" s="37"/>
    </row>
    <row r="13" spans="1:6" x14ac:dyDescent="0.3">
      <c r="A13" s="37"/>
      <c r="B13" s="37"/>
      <c r="C13" s="37"/>
      <c r="D13" s="37"/>
      <c r="E13" s="37"/>
      <c r="F13" s="37"/>
    </row>
    <row r="14" spans="1:6" x14ac:dyDescent="0.3">
      <c r="A14" s="37"/>
      <c r="B14" s="37"/>
      <c r="C14" s="37"/>
      <c r="D14" s="37"/>
      <c r="E14" s="37"/>
      <c r="F14" s="37"/>
    </row>
    <row r="15" spans="1:6" x14ac:dyDescent="0.3">
      <c r="A15" s="37"/>
      <c r="B15" s="37"/>
      <c r="C15" s="37"/>
      <c r="D15" s="37"/>
      <c r="E15" s="37"/>
      <c r="F15" s="37"/>
    </row>
    <row r="17" spans="1:6" ht="20" customHeight="1" x14ac:dyDescent="0.3">
      <c r="A17" s="43" t="s">
        <v>4</v>
      </c>
      <c r="B17" s="39"/>
      <c r="C17" s="39"/>
      <c r="D17" s="39"/>
      <c r="E17" s="39"/>
      <c r="F17" s="39"/>
    </row>
    <row r="18" spans="1:6" x14ac:dyDescent="0.3">
      <c r="A18" s="42" t="s">
        <v>5</v>
      </c>
      <c r="B18" s="39"/>
      <c r="C18" s="39"/>
      <c r="D18" s="39"/>
      <c r="E18" s="39"/>
      <c r="F18" s="39"/>
    </row>
    <row r="19" spans="1:6" x14ac:dyDescent="0.3">
      <c r="A19" s="39"/>
      <c r="B19" s="39"/>
      <c r="C19" s="39"/>
      <c r="D19" s="39"/>
      <c r="E19" s="39"/>
      <c r="F19" s="39"/>
    </row>
    <row r="20" spans="1:6" x14ac:dyDescent="0.3">
      <c r="A20" s="39"/>
      <c r="B20" s="39"/>
      <c r="C20" s="39"/>
      <c r="D20" s="39"/>
      <c r="E20" s="39"/>
      <c r="F20" s="39"/>
    </row>
    <row r="21" spans="1:6" x14ac:dyDescent="0.3">
      <c r="A21" s="39"/>
      <c r="B21" s="39"/>
      <c r="C21" s="39"/>
      <c r="D21" s="39"/>
      <c r="E21" s="39"/>
      <c r="F21" s="39"/>
    </row>
    <row r="22" spans="1:6" x14ac:dyDescent="0.3">
      <c r="A22" s="39"/>
      <c r="B22" s="39"/>
      <c r="C22" s="39"/>
      <c r="D22" s="39"/>
      <c r="E22" s="39"/>
      <c r="F22" s="39"/>
    </row>
    <row r="24" spans="1:6" ht="20" customHeight="1" x14ac:dyDescent="0.3">
      <c r="A24" s="43" t="s">
        <v>6</v>
      </c>
      <c r="B24" s="39"/>
      <c r="C24" s="39"/>
      <c r="D24" s="39"/>
      <c r="E24" s="39"/>
      <c r="F24" s="39"/>
    </row>
    <row r="25" spans="1:6" ht="17" customHeight="1" x14ac:dyDescent="0.3">
      <c r="A25" s="38" t="s">
        <v>7</v>
      </c>
      <c r="B25" s="39"/>
      <c r="C25" s="39"/>
      <c r="D25" s="39"/>
      <c r="E25" s="39"/>
      <c r="F25" s="39"/>
    </row>
    <row r="26" spans="1:6" ht="17" customHeight="1" x14ac:dyDescent="0.3">
      <c r="A26" s="38" t="s">
        <v>8</v>
      </c>
      <c r="B26" s="39"/>
      <c r="C26" s="39"/>
      <c r="D26" s="39"/>
      <c r="E26" s="39"/>
      <c r="F26" s="39"/>
    </row>
    <row r="27" spans="1:6" ht="17" customHeight="1" x14ac:dyDescent="0.3">
      <c r="A27" s="38" t="s">
        <v>9</v>
      </c>
      <c r="B27" s="39"/>
      <c r="C27" s="39"/>
      <c r="D27" s="39"/>
      <c r="E27" s="39"/>
      <c r="F27" s="39"/>
    </row>
    <row r="28" spans="1:6" ht="17" customHeight="1" x14ac:dyDescent="0.3">
      <c r="A28" s="38" t="s">
        <v>10</v>
      </c>
      <c r="B28" s="39"/>
      <c r="C28" s="39"/>
      <c r="D28" s="39"/>
      <c r="E28" s="39"/>
      <c r="F28" s="39"/>
    </row>
    <row r="29" spans="1:6" ht="17" customHeight="1" x14ac:dyDescent="0.3">
      <c r="A29" s="38" t="s">
        <v>11</v>
      </c>
      <c r="B29" s="39"/>
      <c r="C29" s="39"/>
      <c r="D29" s="39"/>
      <c r="E29" s="39"/>
      <c r="F29" s="39"/>
    </row>
    <row r="30" spans="1:6" ht="17" customHeight="1" x14ac:dyDescent="0.3">
      <c r="A30" s="38" t="s">
        <v>12</v>
      </c>
      <c r="B30" s="39"/>
      <c r="C30" s="39"/>
      <c r="D30" s="39"/>
      <c r="E30" s="39"/>
      <c r="F30" s="39"/>
    </row>
    <row r="31" spans="1:6" ht="17" customHeight="1" x14ac:dyDescent="0.3">
      <c r="A31" s="38" t="s">
        <v>13</v>
      </c>
      <c r="B31" s="39"/>
      <c r="C31" s="39"/>
      <c r="D31" s="39"/>
      <c r="E31" s="39"/>
      <c r="F31" s="39"/>
    </row>
    <row r="32" spans="1:6" ht="17" customHeight="1" x14ac:dyDescent="0.3">
      <c r="A32" s="38" t="s">
        <v>14</v>
      </c>
      <c r="B32" s="39"/>
      <c r="C32" s="39"/>
      <c r="D32" s="39"/>
      <c r="E32" s="39"/>
      <c r="F32" s="39"/>
    </row>
    <row r="33" spans="1:6" ht="17" customHeight="1" x14ac:dyDescent="0.3">
      <c r="A33" s="38" t="s">
        <v>15</v>
      </c>
      <c r="B33" s="39"/>
      <c r="C33" s="39"/>
      <c r="D33" s="39"/>
      <c r="E33" s="39"/>
      <c r="F33" s="39"/>
    </row>
    <row r="34" spans="1:6" ht="17" customHeight="1" x14ac:dyDescent="0.3">
      <c r="A34" s="38" t="s">
        <v>16</v>
      </c>
      <c r="B34" s="39"/>
      <c r="C34" s="39"/>
      <c r="D34" s="39"/>
      <c r="E34" s="39"/>
      <c r="F34" s="39"/>
    </row>
    <row r="35" spans="1:6" ht="17" customHeight="1" x14ac:dyDescent="0.3">
      <c r="A35" s="38" t="s">
        <v>17</v>
      </c>
      <c r="B35" s="39"/>
      <c r="C35" s="39"/>
      <c r="D35" s="39"/>
      <c r="E35" s="39"/>
      <c r="F35" s="39"/>
    </row>
    <row r="36" spans="1:6" ht="17" customHeight="1" x14ac:dyDescent="0.3">
      <c r="A36" s="38" t="s">
        <v>18</v>
      </c>
      <c r="B36" s="39"/>
      <c r="C36" s="39"/>
      <c r="D36" s="39"/>
      <c r="E36" s="39"/>
      <c r="F36" s="39"/>
    </row>
    <row r="38" spans="1:6" x14ac:dyDescent="0.3">
      <c r="A38" s="40" t="s">
        <v>19</v>
      </c>
      <c r="B38" s="37"/>
      <c r="C38" s="37"/>
      <c r="D38" s="37"/>
      <c r="E38" s="37"/>
      <c r="F38" s="37"/>
    </row>
    <row r="39" spans="1:6" x14ac:dyDescent="0.3">
      <c r="A39" s="37"/>
      <c r="B39" s="37"/>
      <c r="C39" s="37"/>
      <c r="D39" s="37"/>
      <c r="E39" s="37"/>
      <c r="F39" s="37"/>
    </row>
    <row r="40" spans="1:6" x14ac:dyDescent="0.3">
      <c r="A40" s="37"/>
      <c r="B40" s="37"/>
      <c r="C40" s="37"/>
      <c r="D40" s="37"/>
      <c r="E40" s="37"/>
      <c r="F40" s="37"/>
    </row>
    <row r="41" spans="1:6" x14ac:dyDescent="0.3">
      <c r="A41" s="37"/>
      <c r="B41" s="37"/>
      <c r="C41" s="37"/>
      <c r="D41" s="37"/>
      <c r="E41" s="37"/>
      <c r="F41" s="37"/>
    </row>
    <row r="43" spans="1:6" ht="16" customHeight="1" x14ac:dyDescent="0.3">
      <c r="A43" s="45" t="s">
        <v>20</v>
      </c>
      <c r="B43" s="39"/>
      <c r="C43" s="39"/>
      <c r="D43" s="39"/>
      <c r="E43" s="39"/>
      <c r="F43" s="39"/>
    </row>
  </sheetData>
  <sheetProtection algorithmName="SHA-512" hashValue="TYmMOz7nVuZ9Y42FJSz2i1NvKXtXUv0VSegB9rWYn7xpJ61XVLJuQ0+NL+2C0LL/EwMDbqlnMT3G/P5NpatJFA==" saltValue="PSjhivkksiYMcLPBqTE2vA==" spinCount="100000" sheet="1" formatCells="0" formatColumns="0" formatRows="0" insertColumns="0" insertRows="0" insertHyperlinks="0" deleteColumns="0" deleteRows="0" sort="0" autoFilter="0" pivotTables="0"/>
  <mergeCells count="22">
    <mergeCell ref="A43:F43"/>
    <mergeCell ref="A28:F28"/>
    <mergeCell ref="A9:F9"/>
    <mergeCell ref="A31:F31"/>
    <mergeCell ref="A34:F34"/>
    <mergeCell ref="A30:F30"/>
    <mergeCell ref="A24:F24"/>
    <mergeCell ref="A36:F36"/>
    <mergeCell ref="A25:F25"/>
    <mergeCell ref="A1:F5"/>
    <mergeCell ref="A11:F15"/>
    <mergeCell ref="A27:F27"/>
    <mergeCell ref="A26:F26"/>
    <mergeCell ref="A38:F41"/>
    <mergeCell ref="A33:F33"/>
    <mergeCell ref="A32:F32"/>
    <mergeCell ref="A8:F8"/>
    <mergeCell ref="A18:F22"/>
    <mergeCell ref="A17:F17"/>
    <mergeCell ref="A35:F35"/>
    <mergeCell ref="A29:F29"/>
    <mergeCell ref="A7:F7"/>
  </mergeCells>
  <hyperlinks>
    <hyperlink ref="A9" r:id="rId1" xr:uid="{00000000-0004-0000-0000-000000000000}"/>
    <hyperlink ref="A25" location="'01_مقدمة'!A1" display="مقدمة  (01) ◄" xr:uid="{00000000-0004-0000-0000-000001000000}"/>
    <hyperlink ref="A26" location="'02_دليل الاستخدام'!A1" display="دليل الاستخدام  (02) ◄" xr:uid="{00000000-0004-0000-0000-000002000000}"/>
    <hyperlink ref="A27" location="'03_إعدادات المنشأة'!A1" display="إعدادات المنشأة  (03) ◄" xr:uid="{00000000-0004-0000-0000-000003000000}"/>
    <hyperlink ref="A28" location="'04_تحليل الفجوات'!A1" display="تحليل الفجوات  (04) ◄" xr:uid="{00000000-0004-0000-0000-000004000000}"/>
    <hyperlink ref="A29" location="'05_سجل الأدلة'!A1" display="سجل الأدلة  (05) ◄" xr:uid="{00000000-0004-0000-0000-000005000000}"/>
    <hyperlink ref="A30" location="'06_خطة الإجراءات'!A1" display="خطة الإجراءات  (06) ◄" xr:uid="{00000000-0004-0000-0000-000006000000}"/>
    <hyperlink ref="A31" location="'07_لوحة المؤشرات'!A1" display="لوحة المؤشرات  (07) ◄" xr:uid="{00000000-0004-0000-0000-000007000000}"/>
    <hyperlink ref="A32" location="'08_ملخص الإدارة'!A1" display="ملخص الإدارة  (08) ◄" xr:uid="{00000000-0004-0000-0000-000008000000}"/>
    <hyperlink ref="A33" location="'09_خارطة الانتقال'!A1" display="خارطة الانتقال  (09) ◄" xr:uid="{00000000-0004-0000-0000-000009000000}"/>
    <hyperlink ref="A34" location="'10_البيانات الرئيسية'!A1" display="البيانات الرئيسية  (10) ◄" xr:uid="{00000000-0004-0000-0000-00000A000000}"/>
    <hyperlink ref="A35" location="'11_تقرير QA'!A1" display="تقرير QA  (11) ◄" xr:uid="{00000000-0004-0000-0000-00000B000000}"/>
    <hyperlink ref="A36" location="'12_دليل PivotTables'!A1" display="دليل PivotTables و Slicers  (12) ◄" xr:uid="{00000000-0004-0000-0000-00000C000000}"/>
    <hyperlink ref="A43" r:id="rId2" xr:uid="{00000000-0004-0000-0000-00000D000000}"/>
  </hyperlinks>
  <pageMargins left="0.35" right="0.35" top="0.5" bottom="0.5" header="0.2" footer="0.2"/>
  <pageSetup fitToHeight="0" orientation="portrait"/>
  <headerFooter>
    <oddFooter>&amp;C&amp;8 &amp;K808080امتثال Imtithal.store — أداة تحليل فجوات ISO/IEC 17020:2026 (بيانات تجريبية DEMO حيث وردت) — صفحة &amp;P من &amp;N</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E7C55"/>
    <pageSetUpPr fitToPage="1"/>
  </sheetPr>
  <dimension ref="A1:F37"/>
  <sheetViews>
    <sheetView rightToLeft="1" workbookViewId="0">
      <pane ySplit="5" topLeftCell="A6" activePane="bottomLeft" state="frozen"/>
      <selection pane="bottomLeft" activeCell="B21" sqref="B21"/>
    </sheetView>
  </sheetViews>
  <sheetFormatPr defaultRowHeight="14" x14ac:dyDescent="0.3"/>
  <cols>
    <col min="1" max="1" width="5" customWidth="1"/>
    <col min="2" max="2" width="16" customWidth="1"/>
    <col min="3" max="3" width="34" customWidth="1"/>
    <col min="4" max="4" width="15" customWidth="1"/>
    <col min="5" max="5" width="34" customWidth="1"/>
    <col min="6" max="6" width="15" customWidth="1"/>
  </cols>
  <sheetData>
    <row r="1" spans="1:6" ht="30" customHeight="1" x14ac:dyDescent="0.3">
      <c r="A1" s="47" t="s">
        <v>440</v>
      </c>
      <c r="B1" s="35"/>
      <c r="C1" s="35"/>
      <c r="D1" s="35"/>
      <c r="E1" s="35"/>
      <c r="F1" s="1"/>
    </row>
    <row r="2" spans="1:6" x14ac:dyDescent="0.3">
      <c r="F2" s="3"/>
    </row>
    <row r="3" spans="1:6" ht="20" customHeight="1" x14ac:dyDescent="0.3">
      <c r="A3" s="52" t="str">
        <f>"تاريخ الهدف للانتقال (قابل للتعديل من شيت إعدادات المنشأة): "&amp;TEXT(OrgTransitionDate,"yyyy-mm-dd")&amp;"   |   نسبة إنجاز خارطة الانتقال: "&amp;TEXT(RoadmapProgressPct,"0%")</f>
        <v>تاريخ الهدف للانتقال (قابل للتعديل من شيت إعدادات المنشأة): 2029-03-27   |   نسبة إنجاز خارطة الانتقال: 15%</v>
      </c>
      <c r="B3" s="39"/>
      <c r="C3" s="39"/>
      <c r="D3" s="39"/>
      <c r="E3" s="39"/>
    </row>
    <row r="5" spans="1:6" ht="20" customHeight="1" x14ac:dyDescent="0.3">
      <c r="A5" s="18" t="s">
        <v>441</v>
      </c>
      <c r="B5" s="18" t="s">
        <v>442</v>
      </c>
      <c r="C5" s="18" t="s">
        <v>443</v>
      </c>
      <c r="D5" s="18" t="s">
        <v>444</v>
      </c>
      <c r="E5" s="18" t="s">
        <v>285</v>
      </c>
    </row>
    <row r="6" spans="1:6" ht="28" customHeight="1" x14ac:dyDescent="0.3">
      <c r="A6" s="10">
        <v>1</v>
      </c>
      <c r="B6" s="10" t="s">
        <v>445</v>
      </c>
      <c r="C6" s="12" t="s">
        <v>446</v>
      </c>
      <c r="D6" s="11" t="s">
        <v>208</v>
      </c>
      <c r="E6" s="13" t="s">
        <v>447</v>
      </c>
    </row>
    <row r="7" spans="1:6" ht="28" customHeight="1" x14ac:dyDescent="0.3">
      <c r="A7" s="10">
        <v>2</v>
      </c>
      <c r="B7" s="10" t="s">
        <v>445</v>
      </c>
      <c r="C7" s="12" t="s">
        <v>448</v>
      </c>
      <c r="D7" s="11" t="s">
        <v>208</v>
      </c>
      <c r="E7" s="13" t="s">
        <v>449</v>
      </c>
    </row>
    <row r="8" spans="1:6" ht="28" customHeight="1" x14ac:dyDescent="0.3">
      <c r="A8" s="10">
        <v>3</v>
      </c>
      <c r="B8" s="10" t="s">
        <v>445</v>
      </c>
      <c r="C8" s="12" t="s">
        <v>450</v>
      </c>
      <c r="D8" s="11" t="s">
        <v>99</v>
      </c>
      <c r="E8" s="13" t="s">
        <v>451</v>
      </c>
    </row>
    <row r="9" spans="1:6" ht="28" customHeight="1" x14ac:dyDescent="0.3">
      <c r="A9" s="10">
        <v>4</v>
      </c>
      <c r="B9" s="10" t="s">
        <v>445</v>
      </c>
      <c r="C9" s="12" t="s">
        <v>452</v>
      </c>
      <c r="D9" s="11" t="s">
        <v>99</v>
      </c>
      <c r="E9" s="13" t="s">
        <v>453</v>
      </c>
    </row>
    <row r="10" spans="1:6" ht="28" customHeight="1" x14ac:dyDescent="0.3">
      <c r="A10" s="10">
        <v>5</v>
      </c>
      <c r="B10" s="10" t="s">
        <v>445</v>
      </c>
      <c r="C10" s="12" t="s">
        <v>454</v>
      </c>
      <c r="D10" s="11" t="s">
        <v>208</v>
      </c>
      <c r="E10" s="13" t="s">
        <v>455</v>
      </c>
    </row>
    <row r="11" spans="1:6" ht="28" customHeight="1" x14ac:dyDescent="0.3">
      <c r="A11" s="10">
        <v>6</v>
      </c>
      <c r="B11" s="10" t="s">
        <v>456</v>
      </c>
      <c r="C11" s="12" t="s">
        <v>457</v>
      </c>
      <c r="D11" s="11" t="s">
        <v>127</v>
      </c>
      <c r="E11" s="13" t="s">
        <v>458</v>
      </c>
    </row>
    <row r="12" spans="1:6" ht="28" customHeight="1" x14ac:dyDescent="0.3">
      <c r="A12" s="10">
        <v>7</v>
      </c>
      <c r="B12" s="10" t="s">
        <v>456</v>
      </c>
      <c r="C12" s="12" t="s">
        <v>459</v>
      </c>
      <c r="D12" s="11" t="s">
        <v>99</v>
      </c>
      <c r="E12" s="13" t="s">
        <v>460</v>
      </c>
    </row>
    <row r="13" spans="1:6" ht="28" customHeight="1" x14ac:dyDescent="0.3">
      <c r="A13" s="10">
        <v>8</v>
      </c>
      <c r="B13" s="10" t="s">
        <v>456</v>
      </c>
      <c r="C13" s="12" t="s">
        <v>461</v>
      </c>
      <c r="D13" s="11" t="s">
        <v>127</v>
      </c>
      <c r="E13" s="13" t="s">
        <v>462</v>
      </c>
    </row>
    <row r="14" spans="1:6" ht="28" customHeight="1" x14ac:dyDescent="0.3">
      <c r="A14" s="10">
        <v>9</v>
      </c>
      <c r="B14" s="10" t="s">
        <v>456</v>
      </c>
      <c r="C14" s="12" t="s">
        <v>463</v>
      </c>
      <c r="D14" s="11" t="s">
        <v>99</v>
      </c>
      <c r="E14" s="13" t="s">
        <v>464</v>
      </c>
    </row>
    <row r="15" spans="1:6" ht="28" customHeight="1" x14ac:dyDescent="0.3">
      <c r="A15" s="10">
        <v>10</v>
      </c>
      <c r="B15" s="10" t="s">
        <v>456</v>
      </c>
      <c r="C15" s="12" t="s">
        <v>465</v>
      </c>
      <c r="D15" s="11" t="s">
        <v>127</v>
      </c>
      <c r="E15" s="13" t="s">
        <v>466</v>
      </c>
    </row>
    <row r="16" spans="1:6" ht="28" customHeight="1" x14ac:dyDescent="0.3">
      <c r="A16" s="10">
        <v>11</v>
      </c>
      <c r="B16" s="10" t="s">
        <v>467</v>
      </c>
      <c r="C16" s="12" t="s">
        <v>468</v>
      </c>
      <c r="D16" s="11" t="s">
        <v>127</v>
      </c>
      <c r="E16" s="13" t="s">
        <v>469</v>
      </c>
    </row>
    <row r="17" spans="1:5" ht="28" customHeight="1" x14ac:dyDescent="0.3">
      <c r="A17" s="10">
        <v>12</v>
      </c>
      <c r="B17" s="10" t="s">
        <v>467</v>
      </c>
      <c r="C17" s="12" t="s">
        <v>470</v>
      </c>
      <c r="D17" s="11" t="s">
        <v>127</v>
      </c>
      <c r="E17" s="13" t="s">
        <v>471</v>
      </c>
    </row>
    <row r="18" spans="1:5" ht="28" customHeight="1" x14ac:dyDescent="0.3">
      <c r="A18" s="10">
        <v>13</v>
      </c>
      <c r="B18" s="10" t="s">
        <v>467</v>
      </c>
      <c r="C18" s="12" t="s">
        <v>472</v>
      </c>
      <c r="D18" s="11" t="s">
        <v>127</v>
      </c>
      <c r="E18" s="13" t="s">
        <v>473</v>
      </c>
    </row>
    <row r="19" spans="1:5" ht="28" customHeight="1" x14ac:dyDescent="0.3">
      <c r="A19" s="10">
        <v>14</v>
      </c>
      <c r="B19" s="10" t="s">
        <v>467</v>
      </c>
      <c r="C19" s="12" t="s">
        <v>474</v>
      </c>
      <c r="D19" s="11" t="s">
        <v>127</v>
      </c>
      <c r="E19" s="13" t="s">
        <v>475</v>
      </c>
    </row>
    <row r="20" spans="1:5" ht="28" customHeight="1" x14ac:dyDescent="0.3">
      <c r="A20" s="10">
        <v>15</v>
      </c>
      <c r="B20" s="10" t="s">
        <v>467</v>
      </c>
      <c r="C20" s="12" t="s">
        <v>476</v>
      </c>
      <c r="D20" s="11" t="s">
        <v>127</v>
      </c>
      <c r="E20" s="13" t="s">
        <v>477</v>
      </c>
    </row>
    <row r="21" spans="1:5" ht="28" customHeight="1" x14ac:dyDescent="0.3">
      <c r="A21" s="10">
        <v>16</v>
      </c>
      <c r="B21" s="10" t="s">
        <v>478</v>
      </c>
      <c r="C21" s="12" t="s">
        <v>479</v>
      </c>
      <c r="D21" s="11" t="s">
        <v>127</v>
      </c>
      <c r="E21" s="13" t="s">
        <v>480</v>
      </c>
    </row>
    <row r="22" spans="1:5" ht="28" customHeight="1" x14ac:dyDescent="0.3">
      <c r="A22" s="10">
        <v>17</v>
      </c>
      <c r="B22" s="10" t="s">
        <v>478</v>
      </c>
      <c r="C22" s="12" t="s">
        <v>481</v>
      </c>
      <c r="D22" s="11" t="s">
        <v>127</v>
      </c>
      <c r="E22" s="13" t="s">
        <v>482</v>
      </c>
    </row>
    <row r="23" spans="1:5" ht="28" customHeight="1" x14ac:dyDescent="0.3">
      <c r="A23" s="10">
        <v>18</v>
      </c>
      <c r="B23" s="10" t="s">
        <v>478</v>
      </c>
      <c r="C23" s="12" t="s">
        <v>483</v>
      </c>
      <c r="D23" s="11" t="s">
        <v>127</v>
      </c>
      <c r="E23" s="13" t="s">
        <v>484</v>
      </c>
    </row>
    <row r="24" spans="1:5" ht="28" customHeight="1" x14ac:dyDescent="0.3">
      <c r="A24" s="10">
        <v>19</v>
      </c>
      <c r="B24" s="10" t="s">
        <v>478</v>
      </c>
      <c r="C24" s="12" t="s">
        <v>485</v>
      </c>
      <c r="D24" s="11" t="s">
        <v>127</v>
      </c>
      <c r="E24" s="13" t="s">
        <v>486</v>
      </c>
    </row>
    <row r="25" spans="1:5" ht="28" customHeight="1" x14ac:dyDescent="0.3">
      <c r="A25" s="10">
        <v>20</v>
      </c>
      <c r="B25" s="10" t="s">
        <v>478</v>
      </c>
      <c r="C25" s="12" t="s">
        <v>487</v>
      </c>
      <c r="D25" s="11" t="s">
        <v>127</v>
      </c>
      <c r="E25" s="13" t="s">
        <v>488</v>
      </c>
    </row>
    <row r="27" spans="1:5" x14ac:dyDescent="0.3">
      <c r="A27" s="19" t="s">
        <v>489</v>
      </c>
    </row>
    <row r="28" spans="1:5" x14ac:dyDescent="0.3">
      <c r="A28" s="20" t="s">
        <v>442</v>
      </c>
      <c r="B28" s="20" t="s">
        <v>490</v>
      </c>
    </row>
    <row r="29" spans="1:5" x14ac:dyDescent="0.3">
      <c r="A29" s="21" t="s">
        <v>445</v>
      </c>
      <c r="B29" s="22">
        <f>IFERROR((COUNTIF(D6:D10,"مكتمل")*1+COUNTIF(D6:D10,"قيد التنفيذ")*0.5)/COUNTA(D6:D10),0)</f>
        <v>0.8</v>
      </c>
    </row>
    <row r="30" spans="1:5" x14ac:dyDescent="0.3">
      <c r="A30" s="21" t="s">
        <v>456</v>
      </c>
      <c r="B30" s="22">
        <f>IFERROR((COUNTIF(D11:D15,"مكتمل")*1+COUNTIF(D11:D15,"قيد التنفيذ")*0.5)/COUNTA(D11:D15),0)</f>
        <v>0.2</v>
      </c>
    </row>
    <row r="31" spans="1:5" x14ac:dyDescent="0.3">
      <c r="A31" s="21" t="s">
        <v>467</v>
      </c>
      <c r="B31" s="22">
        <f>IFERROR((COUNTIF(D16:D20,"مكتمل")*1+COUNTIF(D16:D20,"قيد التنفيذ")*0.5)/COUNTA(D16:D20),0)</f>
        <v>0</v>
      </c>
    </row>
    <row r="32" spans="1:5" x14ac:dyDescent="0.3">
      <c r="A32" s="21" t="s">
        <v>478</v>
      </c>
      <c r="B32" s="22">
        <f>IFERROR((COUNTIF(D21:D25,"مكتمل")*1+COUNTIF(D21:D25,"قيد التنفيذ")*0.5)/COUNTA(D21:D25),0)</f>
        <v>0</v>
      </c>
    </row>
    <row r="34" spans="1:5" ht="24" customHeight="1" x14ac:dyDescent="0.3">
      <c r="A34" s="53" t="s">
        <v>491</v>
      </c>
      <c r="B34" s="39"/>
      <c r="C34" s="39"/>
      <c r="D34" s="39"/>
      <c r="E34" s="39"/>
    </row>
    <row r="37" spans="1:5" ht="16" customHeight="1" x14ac:dyDescent="0.3">
      <c r="A37" s="45" t="s">
        <v>20</v>
      </c>
      <c r="B37" s="39"/>
      <c r="C37" s="39"/>
      <c r="D37" s="39"/>
      <c r="E37" s="39"/>
    </row>
  </sheetData>
  <sheetProtection formatCells="0" formatColumns="0" formatRows="0"/>
  <mergeCells count="4">
    <mergeCell ref="A34:E34"/>
    <mergeCell ref="A1:E1"/>
    <mergeCell ref="A37:E37"/>
    <mergeCell ref="A3:E3"/>
  </mergeCells>
  <conditionalFormatting sqref="D6:D25">
    <cfRule type="cellIs" dxfId="2" priority="1" operator="equal">
      <formula>"لم يبدأ"</formula>
    </cfRule>
    <cfRule type="cellIs" dxfId="1" priority="2" operator="equal">
      <formula>"قيد التنفيذ"</formula>
    </cfRule>
    <cfRule type="cellIs" dxfId="0" priority="3" operator="equal">
      <formula>"مكتمل"</formula>
    </cfRule>
  </conditionalFormatting>
  <dataValidations count="1">
    <dataValidation type="list" allowBlank="1" showErrorMessage="1" sqref="D6:D25" xr:uid="{00000000-0002-0000-0800-000000000000}">
      <formula1>List_RoadmapStatus</formula1>
    </dataValidation>
  </dataValidations>
  <hyperlinks>
    <hyperlink ref="A37" r:id="rId1" xr:uid="{00000000-0004-0000-0800-000000000000}"/>
  </hyperlinks>
  <pageMargins left="0.35" right="0.35" top="0.5" bottom="0.5" header="0.2" footer="0.2"/>
  <pageSetup fitToHeight="0" orientation="portrait"/>
  <headerFooter>
    <oddFooter>&amp;C&amp;8 &amp;K808080امتثال Imtithal.store — أداة تحليل فجوات ISO/IEC 17020:2026 (بيانات تجريبية DEMO حيث وردت) — صفحة &amp;P من &amp;N</oddFooter>
  </headerFooter>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6B7280"/>
    <pageSetUpPr fitToPage="1"/>
  </sheetPr>
  <dimension ref="A1:K22"/>
  <sheetViews>
    <sheetView rightToLeft="1" workbookViewId="0">
      <pane ySplit="4" topLeftCell="A5" activePane="bottomLeft" state="frozen"/>
      <selection pane="bottomLeft" sqref="A1:J1"/>
    </sheetView>
  </sheetViews>
  <sheetFormatPr defaultRowHeight="14" x14ac:dyDescent="0.3"/>
  <cols>
    <col min="1" max="10" width="24" customWidth="1"/>
    <col min="11" max="11" width="15" customWidth="1"/>
  </cols>
  <sheetData>
    <row r="1" spans="1:11" ht="30" customHeight="1" x14ac:dyDescent="0.3">
      <c r="A1" s="47" t="s">
        <v>492</v>
      </c>
      <c r="B1" s="35"/>
      <c r="C1" s="35"/>
      <c r="D1" s="35"/>
      <c r="E1" s="35"/>
      <c r="F1" s="35"/>
      <c r="G1" s="35"/>
      <c r="H1" s="35"/>
      <c r="I1" s="35"/>
      <c r="J1" s="35"/>
      <c r="K1" s="1"/>
    </row>
    <row r="2" spans="1:11" ht="18" customHeight="1" x14ac:dyDescent="0.3">
      <c r="A2" s="49" t="s">
        <v>493</v>
      </c>
      <c r="B2" s="50"/>
      <c r="C2" s="50"/>
      <c r="D2" s="50"/>
      <c r="E2" s="50"/>
      <c r="F2" s="50"/>
      <c r="G2" s="50"/>
      <c r="H2" s="50"/>
      <c r="I2" s="50"/>
      <c r="J2" s="50"/>
      <c r="K2" s="5"/>
    </row>
    <row r="4" spans="1:11" x14ac:dyDescent="0.3">
      <c r="A4" s="23" t="s">
        <v>76</v>
      </c>
      <c r="B4" s="23" t="s">
        <v>77</v>
      </c>
      <c r="C4" s="23" t="s">
        <v>81</v>
      </c>
      <c r="D4" s="23" t="s">
        <v>82</v>
      </c>
      <c r="E4" s="23" t="s">
        <v>86</v>
      </c>
      <c r="F4" s="23" t="s">
        <v>72</v>
      </c>
      <c r="G4" s="23" t="s">
        <v>282</v>
      </c>
      <c r="H4" s="23" t="s">
        <v>494</v>
      </c>
      <c r="I4" s="23" t="s">
        <v>50</v>
      </c>
      <c r="J4" s="23" t="s">
        <v>495</v>
      </c>
    </row>
    <row r="5" spans="1:11" x14ac:dyDescent="0.3">
      <c r="A5" s="24" t="s">
        <v>103</v>
      </c>
      <c r="B5" s="24" t="s">
        <v>104</v>
      </c>
      <c r="C5" s="24" t="s">
        <v>112</v>
      </c>
      <c r="D5" s="24" t="s">
        <v>97</v>
      </c>
      <c r="E5" s="24" t="s">
        <v>127</v>
      </c>
      <c r="F5" s="24" t="s">
        <v>89</v>
      </c>
      <c r="G5" s="24" t="s">
        <v>289</v>
      </c>
      <c r="H5" s="24" t="s">
        <v>222</v>
      </c>
      <c r="I5" s="24" t="s">
        <v>51</v>
      </c>
      <c r="J5" s="24" t="s">
        <v>127</v>
      </c>
    </row>
    <row r="6" spans="1:11" x14ac:dyDescent="0.3">
      <c r="A6" s="24" t="s">
        <v>92</v>
      </c>
      <c r="B6" s="24" t="s">
        <v>93</v>
      </c>
      <c r="C6" s="24" t="s">
        <v>96</v>
      </c>
      <c r="D6" s="24" t="s">
        <v>120</v>
      </c>
      <c r="E6" s="24" t="s">
        <v>99</v>
      </c>
      <c r="F6" s="24" t="s">
        <v>106</v>
      </c>
      <c r="G6" s="24" t="s">
        <v>300</v>
      </c>
      <c r="H6" s="24" t="s">
        <v>100</v>
      </c>
      <c r="I6" s="24" t="s">
        <v>496</v>
      </c>
      <c r="J6" s="24" t="s">
        <v>99</v>
      </c>
    </row>
    <row r="7" spans="1:11" x14ac:dyDescent="0.3">
      <c r="A7" s="24" t="s">
        <v>109</v>
      </c>
      <c r="B7" s="24" t="s">
        <v>110</v>
      </c>
      <c r="C7" s="24" t="s">
        <v>141</v>
      </c>
      <c r="D7" s="24" t="s">
        <v>152</v>
      </c>
      <c r="E7" s="24" t="s">
        <v>208</v>
      </c>
      <c r="F7" s="24" t="s">
        <v>122</v>
      </c>
      <c r="G7" s="24" t="s">
        <v>327</v>
      </c>
      <c r="I7" s="24" t="s">
        <v>497</v>
      </c>
      <c r="J7" s="24" t="s">
        <v>208</v>
      </c>
    </row>
    <row r="8" spans="1:11" x14ac:dyDescent="0.3">
      <c r="A8" s="24" t="s">
        <v>171</v>
      </c>
      <c r="B8" s="24" t="s">
        <v>171</v>
      </c>
      <c r="C8" s="24" t="s">
        <v>198</v>
      </c>
      <c r="E8" s="24" t="s">
        <v>115</v>
      </c>
      <c r="F8" s="24" t="s">
        <v>136</v>
      </c>
      <c r="G8" s="24" t="s">
        <v>295</v>
      </c>
    </row>
    <row r="9" spans="1:11" x14ac:dyDescent="0.3">
      <c r="C9" s="24" t="s">
        <v>171</v>
      </c>
      <c r="E9" s="24" t="s">
        <v>221</v>
      </c>
      <c r="F9" s="24" t="s">
        <v>154</v>
      </c>
      <c r="G9" s="24" t="s">
        <v>343</v>
      </c>
    </row>
    <row r="10" spans="1:11" x14ac:dyDescent="0.3">
      <c r="F10" s="24" t="s">
        <v>163</v>
      </c>
      <c r="G10" s="24" t="s">
        <v>498</v>
      </c>
    </row>
    <row r="11" spans="1:11" x14ac:dyDescent="0.3">
      <c r="F11" s="24" t="s">
        <v>173</v>
      </c>
      <c r="G11" s="24" t="s">
        <v>309</v>
      </c>
    </row>
    <row r="12" spans="1:11" x14ac:dyDescent="0.3">
      <c r="F12" s="24" t="s">
        <v>183</v>
      </c>
      <c r="G12" s="24" t="s">
        <v>314</v>
      </c>
    </row>
    <row r="13" spans="1:11" x14ac:dyDescent="0.3">
      <c r="F13" s="24" t="s">
        <v>193</v>
      </c>
      <c r="G13" s="24" t="s">
        <v>352</v>
      </c>
    </row>
    <row r="14" spans="1:11" x14ac:dyDescent="0.3">
      <c r="F14" s="24" t="s">
        <v>210</v>
      </c>
      <c r="G14" s="24" t="s">
        <v>348</v>
      </c>
    </row>
    <row r="15" spans="1:11" x14ac:dyDescent="0.3">
      <c r="G15" s="24" t="s">
        <v>499</v>
      </c>
    </row>
    <row r="16" spans="1:11" x14ac:dyDescent="0.3">
      <c r="G16" s="24" t="s">
        <v>332</v>
      </c>
    </row>
    <row r="17" spans="1:10" x14ac:dyDescent="0.3">
      <c r="G17" s="24" t="s">
        <v>500</v>
      </c>
    </row>
    <row r="18" spans="1:10" x14ac:dyDescent="0.3">
      <c r="G18" s="24" t="s">
        <v>501</v>
      </c>
    </row>
    <row r="19" spans="1:10" x14ac:dyDescent="0.3">
      <c r="G19" s="24" t="s">
        <v>391</v>
      </c>
    </row>
    <row r="22" spans="1:10" ht="16" customHeight="1" x14ac:dyDescent="0.3">
      <c r="A22" s="45" t="s">
        <v>20</v>
      </c>
      <c r="B22" s="39"/>
      <c r="C22" s="39"/>
      <c r="D22" s="39"/>
      <c r="E22" s="39"/>
      <c r="F22" s="39"/>
      <c r="G22" s="39"/>
      <c r="H22" s="39"/>
      <c r="I22" s="39"/>
      <c r="J22" s="39"/>
    </row>
  </sheetData>
  <sheetProtection algorithmName="SHA-512" hashValue="oWO3McVcapA709t++knsn5eOqpjnJ6wcrr9uM7fwv9b7zGDBAZGvMSwtqq/akajE+fkTVWmy+595VK/9i80jwA==" saltValue="KbuQlcpFRTVVCeADi0/yVQ==" spinCount="100000" sheet="1" formatCells="0" formatColumns="0" formatRows="0"/>
  <mergeCells count="3">
    <mergeCell ref="A22:J22"/>
    <mergeCell ref="A1:J1"/>
    <mergeCell ref="A2:J2"/>
  </mergeCells>
  <hyperlinks>
    <hyperlink ref="A22" r:id="rId1" xr:uid="{00000000-0004-0000-0900-000000000000}"/>
  </hyperlinks>
  <pageMargins left="0.35" right="0.35" top="0.5" bottom="0.5" header="0.2" footer="0.2"/>
  <pageSetup fitToHeight="0" orientation="landscape"/>
  <headerFooter>
    <oddFooter>&amp;C&amp;8 &amp;K808080امتثال Imtithal.store — أداة تحليل فجوات ISO/IEC 17020:2026 (بيانات تجريبية DEMO حيث وردت) — صفحة &amp;P من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C0006"/>
    <pageSetUpPr fitToPage="1"/>
  </sheetPr>
  <dimension ref="A1:F46"/>
  <sheetViews>
    <sheetView rightToLeft="1" workbookViewId="0">
      <pane ySplit="4" topLeftCell="A5" activePane="bottomLeft" state="frozen"/>
      <selection pane="bottomLeft" sqref="A1:E1"/>
    </sheetView>
  </sheetViews>
  <sheetFormatPr defaultRowHeight="14" x14ac:dyDescent="0.3"/>
  <cols>
    <col min="1" max="1" width="34" customWidth="1"/>
    <col min="2" max="3" width="30" customWidth="1"/>
    <col min="4" max="4" width="12" customWidth="1"/>
    <col min="5" max="5" width="40" customWidth="1"/>
    <col min="6" max="6" width="15" customWidth="1"/>
  </cols>
  <sheetData>
    <row r="1" spans="1:6" ht="30" customHeight="1" x14ac:dyDescent="0.3">
      <c r="A1" s="47" t="s">
        <v>502</v>
      </c>
      <c r="B1" s="35"/>
      <c r="C1" s="35"/>
      <c r="D1" s="35"/>
      <c r="E1" s="35"/>
      <c r="F1" s="1"/>
    </row>
    <row r="2" spans="1:6" ht="18" customHeight="1" x14ac:dyDescent="0.3">
      <c r="A2" s="49" t="s">
        <v>503</v>
      </c>
      <c r="B2" s="50"/>
      <c r="C2" s="50"/>
      <c r="D2" s="50"/>
      <c r="E2" s="50"/>
      <c r="F2" s="5"/>
    </row>
    <row r="4" spans="1:6" ht="22" customHeight="1" x14ac:dyDescent="0.3">
      <c r="A4" s="9" t="s">
        <v>504</v>
      </c>
      <c r="B4" s="9" t="s">
        <v>505</v>
      </c>
      <c r="C4" s="9" t="s">
        <v>506</v>
      </c>
      <c r="D4" s="9" t="s">
        <v>444</v>
      </c>
      <c r="E4" s="9" t="s">
        <v>507</v>
      </c>
    </row>
    <row r="5" spans="1:6" ht="40" customHeight="1" x14ac:dyDescent="0.3">
      <c r="A5" s="25" t="s">
        <v>508</v>
      </c>
      <c r="B5" s="25" t="s">
        <v>509</v>
      </c>
      <c r="C5" s="25" t="s">
        <v>510</v>
      </c>
      <c r="D5" s="26" t="s">
        <v>511</v>
      </c>
      <c r="E5" s="25"/>
    </row>
    <row r="6" spans="1:6" ht="40" customHeight="1" x14ac:dyDescent="0.3">
      <c r="A6" s="25" t="s">
        <v>512</v>
      </c>
      <c r="B6" s="25" t="s">
        <v>513</v>
      </c>
      <c r="C6" s="25" t="s">
        <v>514</v>
      </c>
      <c r="D6" s="26" t="s">
        <v>511</v>
      </c>
      <c r="E6" s="25" t="s">
        <v>515</v>
      </c>
    </row>
    <row r="7" spans="1:6" ht="40" customHeight="1" x14ac:dyDescent="0.3">
      <c r="A7" s="25" t="s">
        <v>516</v>
      </c>
      <c r="B7" s="25" t="s">
        <v>517</v>
      </c>
      <c r="C7" s="25" t="s">
        <v>518</v>
      </c>
      <c r="D7" s="26" t="s">
        <v>511</v>
      </c>
      <c r="E7" s="25"/>
    </row>
    <row r="8" spans="1:6" ht="40" customHeight="1" x14ac:dyDescent="0.3">
      <c r="A8" s="25" t="s">
        <v>519</v>
      </c>
      <c r="B8" s="25" t="s">
        <v>520</v>
      </c>
      <c r="C8" s="25" t="s">
        <v>521</v>
      </c>
      <c r="D8" s="26" t="s">
        <v>511</v>
      </c>
      <c r="E8" s="25"/>
    </row>
    <row r="9" spans="1:6" ht="40" customHeight="1" x14ac:dyDescent="0.3">
      <c r="A9" s="25" t="s">
        <v>522</v>
      </c>
      <c r="B9" s="25" t="s">
        <v>523</v>
      </c>
      <c r="C9" s="25" t="s">
        <v>524</v>
      </c>
      <c r="D9" s="26" t="s">
        <v>511</v>
      </c>
      <c r="E9" s="25"/>
    </row>
    <row r="10" spans="1:6" ht="40" customHeight="1" x14ac:dyDescent="0.3">
      <c r="A10" s="25" t="s">
        <v>525</v>
      </c>
      <c r="B10" s="25" t="s">
        <v>526</v>
      </c>
      <c r="C10" s="25" t="s">
        <v>527</v>
      </c>
      <c r="D10" s="26" t="s">
        <v>511</v>
      </c>
      <c r="E10" s="25" t="s">
        <v>528</v>
      </c>
    </row>
    <row r="11" spans="1:6" ht="40" customHeight="1" x14ac:dyDescent="0.3">
      <c r="A11" s="25" t="s">
        <v>529</v>
      </c>
      <c r="B11" s="25" t="s">
        <v>530</v>
      </c>
      <c r="C11" s="25" t="s">
        <v>531</v>
      </c>
      <c r="D11" s="26" t="s">
        <v>511</v>
      </c>
      <c r="E11" s="25"/>
    </row>
    <row r="12" spans="1:6" ht="40" customHeight="1" x14ac:dyDescent="0.3">
      <c r="A12" s="25" t="s">
        <v>532</v>
      </c>
      <c r="B12" s="25" t="s">
        <v>533</v>
      </c>
      <c r="C12" s="25" t="s">
        <v>534</v>
      </c>
      <c r="D12" s="26" t="s">
        <v>511</v>
      </c>
      <c r="E12" s="25"/>
    </row>
    <row r="13" spans="1:6" ht="40" customHeight="1" x14ac:dyDescent="0.3">
      <c r="A13" s="25" t="s">
        <v>535</v>
      </c>
      <c r="B13" s="25" t="s">
        <v>536</v>
      </c>
      <c r="C13" s="25" t="s">
        <v>537</v>
      </c>
      <c r="D13" s="26" t="s">
        <v>511</v>
      </c>
      <c r="E13" s="25"/>
    </row>
    <row r="14" spans="1:6" ht="40" customHeight="1" x14ac:dyDescent="0.3">
      <c r="A14" s="25" t="s">
        <v>538</v>
      </c>
      <c r="B14" s="25" t="s">
        <v>539</v>
      </c>
      <c r="C14" s="25" t="s">
        <v>540</v>
      </c>
      <c r="D14" s="26" t="s">
        <v>511</v>
      </c>
      <c r="E14" s="25"/>
    </row>
    <row r="15" spans="1:6" ht="40" customHeight="1" x14ac:dyDescent="0.3">
      <c r="A15" s="25" t="s">
        <v>541</v>
      </c>
      <c r="B15" s="25" t="s">
        <v>542</v>
      </c>
      <c r="C15" s="25" t="s">
        <v>543</v>
      </c>
      <c r="D15" s="26" t="s">
        <v>511</v>
      </c>
      <c r="E15" s="25" t="s">
        <v>544</v>
      </c>
    </row>
    <row r="16" spans="1:6" ht="40" customHeight="1" x14ac:dyDescent="0.3">
      <c r="A16" s="25" t="s">
        <v>545</v>
      </c>
      <c r="B16" s="25" t="s">
        <v>546</v>
      </c>
      <c r="C16" s="25" t="s">
        <v>547</v>
      </c>
      <c r="D16" s="26" t="s">
        <v>511</v>
      </c>
      <c r="E16" s="25"/>
    </row>
    <row r="17" spans="1:5" ht="40" customHeight="1" x14ac:dyDescent="0.3">
      <c r="A17" s="25" t="s">
        <v>548</v>
      </c>
      <c r="B17" s="25" t="s">
        <v>549</v>
      </c>
      <c r="C17" s="25" t="s">
        <v>550</v>
      </c>
      <c r="D17" s="26" t="s">
        <v>511</v>
      </c>
      <c r="E17" s="25"/>
    </row>
    <row r="18" spans="1:5" ht="40" customHeight="1" x14ac:dyDescent="0.3">
      <c r="A18" s="25" t="s">
        <v>551</v>
      </c>
      <c r="B18" s="25" t="s">
        <v>552</v>
      </c>
      <c r="C18" s="25" t="s">
        <v>553</v>
      </c>
      <c r="D18" s="26" t="s">
        <v>511</v>
      </c>
      <c r="E18" s="25"/>
    </row>
    <row r="19" spans="1:5" ht="40" customHeight="1" x14ac:dyDescent="0.3">
      <c r="A19" s="25" t="s">
        <v>554</v>
      </c>
      <c r="B19" s="25" t="s">
        <v>555</v>
      </c>
      <c r="C19" s="25" t="s">
        <v>556</v>
      </c>
      <c r="D19" s="26" t="s">
        <v>511</v>
      </c>
      <c r="E19" s="25"/>
    </row>
    <row r="20" spans="1:5" ht="40" customHeight="1" x14ac:dyDescent="0.3">
      <c r="A20" s="25" t="s">
        <v>557</v>
      </c>
      <c r="B20" s="25" t="s">
        <v>558</v>
      </c>
      <c r="C20" s="25" t="s">
        <v>559</v>
      </c>
      <c r="D20" s="26" t="s">
        <v>511</v>
      </c>
      <c r="E20" s="25"/>
    </row>
    <row r="21" spans="1:5" ht="40" customHeight="1" x14ac:dyDescent="0.3">
      <c r="A21" s="25" t="s">
        <v>560</v>
      </c>
      <c r="B21" s="25" t="s">
        <v>561</v>
      </c>
      <c r="C21" s="25" t="s">
        <v>562</v>
      </c>
      <c r="D21" s="26" t="s">
        <v>511</v>
      </c>
      <c r="E21" s="25" t="s">
        <v>563</v>
      </c>
    </row>
    <row r="22" spans="1:5" ht="40" customHeight="1" x14ac:dyDescent="0.3">
      <c r="A22" s="25" t="s">
        <v>564</v>
      </c>
      <c r="B22" s="25" t="s">
        <v>565</v>
      </c>
      <c r="C22" s="25" t="s">
        <v>566</v>
      </c>
      <c r="D22" s="26" t="s">
        <v>511</v>
      </c>
      <c r="E22" s="25" t="s">
        <v>567</v>
      </c>
    </row>
    <row r="23" spans="1:5" ht="40" customHeight="1" x14ac:dyDescent="0.3">
      <c r="A23" s="25" t="s">
        <v>568</v>
      </c>
      <c r="B23" s="25" t="s">
        <v>569</v>
      </c>
      <c r="C23" s="25" t="s">
        <v>570</v>
      </c>
      <c r="D23" s="26" t="s">
        <v>511</v>
      </c>
      <c r="E23" s="25"/>
    </row>
    <row r="24" spans="1:5" ht="40" customHeight="1" x14ac:dyDescent="0.3">
      <c r="A24" s="25" t="s">
        <v>571</v>
      </c>
      <c r="B24" s="25" t="s">
        <v>572</v>
      </c>
      <c r="C24" s="25" t="s">
        <v>573</v>
      </c>
      <c r="D24" s="26" t="s">
        <v>511</v>
      </c>
      <c r="E24" s="25"/>
    </row>
    <row r="25" spans="1:5" ht="40" customHeight="1" x14ac:dyDescent="0.3">
      <c r="A25" s="25" t="s">
        <v>574</v>
      </c>
      <c r="B25" s="25" t="s">
        <v>575</v>
      </c>
      <c r="C25" s="25" t="s">
        <v>576</v>
      </c>
      <c r="D25" s="26" t="s">
        <v>511</v>
      </c>
      <c r="E25" s="25" t="s">
        <v>577</v>
      </c>
    </row>
    <row r="26" spans="1:5" ht="40" customHeight="1" x14ac:dyDescent="0.3">
      <c r="A26" s="25" t="s">
        <v>578</v>
      </c>
      <c r="B26" s="25" t="s">
        <v>579</v>
      </c>
      <c r="C26" s="25" t="s">
        <v>580</v>
      </c>
      <c r="D26" s="26" t="s">
        <v>511</v>
      </c>
      <c r="E26" s="25"/>
    </row>
    <row r="27" spans="1:5" ht="40" customHeight="1" x14ac:dyDescent="0.3">
      <c r="A27" s="25" t="s">
        <v>581</v>
      </c>
      <c r="B27" s="25" t="s">
        <v>582</v>
      </c>
      <c r="C27" s="25" t="s">
        <v>583</v>
      </c>
      <c r="D27" s="26" t="s">
        <v>511</v>
      </c>
      <c r="E27" s="25"/>
    </row>
    <row r="28" spans="1:5" ht="40" customHeight="1" x14ac:dyDescent="0.3">
      <c r="A28" s="25" t="s">
        <v>584</v>
      </c>
      <c r="B28" s="25" t="s">
        <v>585</v>
      </c>
      <c r="C28" s="25" t="s">
        <v>586</v>
      </c>
      <c r="D28" s="26" t="s">
        <v>511</v>
      </c>
      <c r="E28" s="25"/>
    </row>
    <row r="29" spans="1:5" ht="40" customHeight="1" x14ac:dyDescent="0.3">
      <c r="A29" s="25" t="s">
        <v>587</v>
      </c>
      <c r="B29" s="25" t="s">
        <v>588</v>
      </c>
      <c r="C29" s="25" t="s">
        <v>589</v>
      </c>
      <c r="D29" s="26" t="s">
        <v>511</v>
      </c>
      <c r="E29" s="25" t="s">
        <v>590</v>
      </c>
    </row>
    <row r="30" spans="1:5" ht="40" customHeight="1" x14ac:dyDescent="0.3">
      <c r="A30" s="25" t="s">
        <v>591</v>
      </c>
      <c r="B30" s="25" t="s">
        <v>592</v>
      </c>
      <c r="C30" s="25" t="s">
        <v>593</v>
      </c>
      <c r="D30" s="26" t="s">
        <v>511</v>
      </c>
      <c r="E30" s="25"/>
    </row>
    <row r="31" spans="1:5" ht="40" customHeight="1" x14ac:dyDescent="0.3">
      <c r="A31" s="25" t="s">
        <v>594</v>
      </c>
      <c r="B31" s="25" t="s">
        <v>595</v>
      </c>
      <c r="C31" s="25" t="s">
        <v>596</v>
      </c>
      <c r="D31" s="26" t="s">
        <v>511</v>
      </c>
      <c r="E31" s="25"/>
    </row>
    <row r="32" spans="1:5" ht="40" customHeight="1" x14ac:dyDescent="0.3">
      <c r="A32" s="25" t="s">
        <v>597</v>
      </c>
      <c r="B32" s="25" t="s">
        <v>598</v>
      </c>
      <c r="C32" s="25" t="s">
        <v>599</v>
      </c>
      <c r="D32" s="26" t="s">
        <v>511</v>
      </c>
      <c r="E32" s="25"/>
    </row>
    <row r="33" spans="1:5" ht="40" customHeight="1" x14ac:dyDescent="0.3">
      <c r="A33" s="25" t="s">
        <v>600</v>
      </c>
      <c r="B33" s="25" t="s">
        <v>601</v>
      </c>
      <c r="C33" s="25" t="s">
        <v>602</v>
      </c>
      <c r="D33" s="26" t="s">
        <v>511</v>
      </c>
      <c r="E33" s="25" t="s">
        <v>603</v>
      </c>
    </row>
    <row r="34" spans="1:5" ht="40" customHeight="1" x14ac:dyDescent="0.3">
      <c r="A34" s="25" t="s">
        <v>604</v>
      </c>
      <c r="B34" s="25" t="s">
        <v>605</v>
      </c>
      <c r="C34" s="25" t="s">
        <v>606</v>
      </c>
      <c r="D34" s="26" t="s">
        <v>511</v>
      </c>
      <c r="E34" s="25"/>
    </row>
    <row r="35" spans="1:5" ht="40" customHeight="1" x14ac:dyDescent="0.3">
      <c r="A35" s="25" t="s">
        <v>607</v>
      </c>
      <c r="B35" s="25" t="s">
        <v>608</v>
      </c>
      <c r="C35" s="25" t="s">
        <v>609</v>
      </c>
      <c r="D35" s="26" t="s">
        <v>511</v>
      </c>
      <c r="E35" s="25"/>
    </row>
    <row r="36" spans="1:5" ht="40" customHeight="1" x14ac:dyDescent="0.3">
      <c r="A36" s="25" t="s">
        <v>610</v>
      </c>
      <c r="B36" s="25" t="s">
        <v>611</v>
      </c>
      <c r="C36" s="25" t="s">
        <v>612</v>
      </c>
      <c r="D36" s="26" t="s">
        <v>511</v>
      </c>
      <c r="E36" s="25"/>
    </row>
    <row r="37" spans="1:5" ht="40" customHeight="1" x14ac:dyDescent="0.3">
      <c r="A37" s="25" t="s">
        <v>613</v>
      </c>
      <c r="B37" s="25" t="s">
        <v>614</v>
      </c>
      <c r="C37" s="25" t="s">
        <v>615</v>
      </c>
      <c r="D37" s="26" t="s">
        <v>511</v>
      </c>
      <c r="E37" s="25"/>
    </row>
    <row r="38" spans="1:5" ht="40" customHeight="1" x14ac:dyDescent="0.3">
      <c r="A38" s="25" t="s">
        <v>616</v>
      </c>
      <c r="B38" s="25" t="s">
        <v>617</v>
      </c>
      <c r="C38" s="25" t="s">
        <v>618</v>
      </c>
      <c r="D38" s="26" t="s">
        <v>511</v>
      </c>
      <c r="E38" s="25" t="s">
        <v>619</v>
      </c>
    </row>
    <row r="39" spans="1:5" ht="40" customHeight="1" x14ac:dyDescent="0.3">
      <c r="A39" s="25" t="s">
        <v>620</v>
      </c>
      <c r="B39" s="25" t="s">
        <v>621</v>
      </c>
      <c r="C39" s="25" t="s">
        <v>622</v>
      </c>
      <c r="D39" s="26" t="s">
        <v>511</v>
      </c>
      <c r="E39" s="25" t="s">
        <v>623</v>
      </c>
    </row>
    <row r="40" spans="1:5" ht="40" customHeight="1" x14ac:dyDescent="0.3">
      <c r="A40" s="25" t="s">
        <v>624</v>
      </c>
      <c r="B40" s="25" t="s">
        <v>625</v>
      </c>
      <c r="C40" s="25" t="s">
        <v>626</v>
      </c>
      <c r="D40" s="26" t="s">
        <v>511</v>
      </c>
      <c r="E40" s="25"/>
    </row>
    <row r="41" spans="1:5" ht="40" customHeight="1" x14ac:dyDescent="0.3">
      <c r="A41" s="25" t="s">
        <v>627</v>
      </c>
      <c r="B41" s="25" t="s">
        <v>628</v>
      </c>
      <c r="C41" s="25" t="s">
        <v>629</v>
      </c>
      <c r="D41" s="26" t="s">
        <v>511</v>
      </c>
      <c r="E41" s="25" t="s">
        <v>630</v>
      </c>
    </row>
    <row r="43" spans="1:5" ht="24" customHeight="1" x14ac:dyDescent="0.3">
      <c r="A43" s="61" t="s">
        <v>631</v>
      </c>
      <c r="B43" s="39"/>
      <c r="C43" s="39"/>
      <c r="D43" s="39"/>
      <c r="E43" s="39"/>
    </row>
    <row r="46" spans="1:5" ht="16" customHeight="1" x14ac:dyDescent="0.3">
      <c r="A46" s="45" t="s">
        <v>20</v>
      </c>
      <c r="B46" s="39"/>
      <c r="C46" s="39"/>
      <c r="D46" s="39"/>
      <c r="E46" s="39"/>
    </row>
  </sheetData>
  <sheetProtection sheet="1" formatCells="0" formatColumns="0" formatRows="0"/>
  <mergeCells count="4">
    <mergeCell ref="A2:E2"/>
    <mergeCell ref="A1:E1"/>
    <mergeCell ref="A46:E46"/>
    <mergeCell ref="A43:E43"/>
  </mergeCells>
  <hyperlinks>
    <hyperlink ref="A46" r:id="rId1" xr:uid="{00000000-0004-0000-0A00-000000000000}"/>
  </hyperlinks>
  <pageMargins left="0.35" right="0.35" top="0.5" bottom="0.5" header="0.2" footer="0.2"/>
  <pageSetup fitToHeight="0" orientation="landscape"/>
  <headerFooter>
    <oddFooter>&amp;C&amp;8 &amp;K808080امتثال Imtithal.store — أداة تحليل فجوات ISO/IEC 17020:2026 (بيانات تجريبية DEMO حيث وردت) — صفحة &amp;P من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9A227"/>
    <pageSetUpPr fitToPage="1"/>
  </sheetPr>
  <dimension ref="A1:G50"/>
  <sheetViews>
    <sheetView rightToLeft="1" workbookViewId="0">
      <pane ySplit="1" topLeftCell="A2" activePane="bottomLeft" state="frozen"/>
      <selection pane="bottomLeft" activeCell="I11" sqref="I11"/>
    </sheetView>
  </sheetViews>
  <sheetFormatPr defaultRowHeight="14" x14ac:dyDescent="0.3"/>
  <cols>
    <col min="1" max="1" width="22" customWidth="1"/>
    <col min="2" max="3" width="20" customWidth="1"/>
    <col min="4" max="4" width="40" customWidth="1"/>
    <col min="5" max="5" width="16" customWidth="1"/>
    <col min="6" max="6" width="22" customWidth="1"/>
    <col min="7" max="7" width="15" customWidth="1"/>
  </cols>
  <sheetData>
    <row r="1" spans="1:7" ht="30" customHeight="1" x14ac:dyDescent="0.3">
      <c r="A1" s="47" t="s">
        <v>632</v>
      </c>
      <c r="B1" s="35"/>
      <c r="C1" s="35"/>
      <c r="D1" s="35"/>
      <c r="E1" s="35"/>
      <c r="F1" s="35"/>
      <c r="G1" s="1"/>
    </row>
    <row r="2" spans="1:7" ht="18" customHeight="1" x14ac:dyDescent="0.3">
      <c r="A2" s="49" t="s">
        <v>633</v>
      </c>
      <c r="B2" s="50"/>
      <c r="C2" s="50"/>
      <c r="D2" s="50"/>
      <c r="E2" s="50"/>
      <c r="F2" s="50"/>
      <c r="G2" s="5"/>
    </row>
    <row r="3" spans="1:7" x14ac:dyDescent="0.3">
      <c r="A3" s="63" t="s">
        <v>634</v>
      </c>
      <c r="B3" s="64"/>
      <c r="C3" s="64"/>
      <c r="D3" s="64"/>
      <c r="E3" s="64"/>
      <c r="F3" s="64"/>
    </row>
    <row r="4" spans="1:7" x14ac:dyDescent="0.3">
      <c r="A4" s="64"/>
      <c r="B4" s="64"/>
      <c r="C4" s="64"/>
      <c r="D4" s="64"/>
      <c r="E4" s="64"/>
      <c r="F4" s="64"/>
    </row>
    <row r="5" spans="1:7" x14ac:dyDescent="0.3">
      <c r="A5" s="64"/>
      <c r="B5" s="64"/>
      <c r="C5" s="64"/>
      <c r="D5" s="64"/>
      <c r="E5" s="64"/>
      <c r="F5" s="64"/>
    </row>
    <row r="6" spans="1:7" x14ac:dyDescent="0.3">
      <c r="A6" s="64"/>
      <c r="B6" s="64"/>
      <c r="C6" s="64"/>
      <c r="D6" s="64"/>
      <c r="E6" s="64"/>
      <c r="F6" s="64"/>
    </row>
    <row r="7" spans="1:7" x14ac:dyDescent="0.3">
      <c r="A7" s="64"/>
      <c r="B7" s="64"/>
      <c r="C7" s="64"/>
      <c r="D7" s="64"/>
      <c r="E7" s="64"/>
      <c r="F7" s="64"/>
    </row>
    <row r="9" spans="1:7" ht="20" customHeight="1" x14ac:dyDescent="0.3">
      <c r="A9" s="43" t="s">
        <v>635</v>
      </c>
      <c r="B9" s="39"/>
      <c r="C9" s="39"/>
      <c r="D9" s="39"/>
      <c r="E9" s="39"/>
      <c r="F9" s="39"/>
    </row>
    <row r="10" spans="1:7" x14ac:dyDescent="0.3">
      <c r="A10" s="27" t="s">
        <v>636</v>
      </c>
      <c r="B10" s="27" t="s">
        <v>637</v>
      </c>
      <c r="C10" s="27" t="s">
        <v>638</v>
      </c>
      <c r="D10" s="27" t="s">
        <v>639</v>
      </c>
    </row>
    <row r="11" spans="1:7" x14ac:dyDescent="0.3">
      <c r="A11" s="28" t="s">
        <v>640</v>
      </c>
      <c r="B11" s="10" t="s">
        <v>641</v>
      </c>
      <c r="C11" s="10">
        <v>35</v>
      </c>
      <c r="D11" s="12" t="s">
        <v>642</v>
      </c>
    </row>
    <row r="12" spans="1:7" x14ac:dyDescent="0.3">
      <c r="A12" s="28" t="s">
        <v>643</v>
      </c>
      <c r="B12" s="10" t="s">
        <v>644</v>
      </c>
      <c r="C12" s="10">
        <v>30</v>
      </c>
      <c r="D12" s="12" t="s">
        <v>645</v>
      </c>
    </row>
    <row r="13" spans="1:7" x14ac:dyDescent="0.3">
      <c r="A13" s="28" t="s">
        <v>646</v>
      </c>
      <c r="B13" s="10" t="s">
        <v>647</v>
      </c>
      <c r="C13" s="10">
        <v>27</v>
      </c>
      <c r="D13" s="12" t="s">
        <v>648</v>
      </c>
    </row>
    <row r="14" spans="1:7" x14ac:dyDescent="0.3">
      <c r="A14" s="28" t="s">
        <v>649</v>
      </c>
      <c r="B14" s="10" t="s">
        <v>650</v>
      </c>
      <c r="C14" s="10">
        <v>20</v>
      </c>
      <c r="D14" s="12" t="s">
        <v>651</v>
      </c>
    </row>
    <row r="17" spans="1:6" ht="20" customHeight="1" x14ac:dyDescent="0.3">
      <c r="A17" s="43" t="s">
        <v>652</v>
      </c>
      <c r="B17" s="39"/>
      <c r="C17" s="39"/>
      <c r="D17" s="39"/>
      <c r="E17" s="39"/>
      <c r="F17" s="39"/>
    </row>
    <row r="18" spans="1:6" ht="16" customHeight="1" x14ac:dyDescent="0.3">
      <c r="A18" s="62" t="s">
        <v>653</v>
      </c>
      <c r="B18" s="39"/>
      <c r="C18" s="39"/>
      <c r="D18" s="39"/>
      <c r="E18" s="39"/>
      <c r="F18" s="39"/>
    </row>
    <row r="19" spans="1:6" ht="16" customHeight="1" x14ac:dyDescent="0.3">
      <c r="A19" s="62" t="s">
        <v>654</v>
      </c>
      <c r="B19" s="39"/>
      <c r="C19" s="39"/>
      <c r="D19" s="39"/>
      <c r="E19" s="39"/>
      <c r="F19" s="39"/>
    </row>
    <row r="20" spans="1:6" ht="16" customHeight="1" x14ac:dyDescent="0.3">
      <c r="A20" s="62" t="s">
        <v>655</v>
      </c>
      <c r="B20" s="39"/>
      <c r="C20" s="39"/>
      <c r="D20" s="39"/>
      <c r="E20" s="39"/>
      <c r="F20" s="39"/>
    </row>
    <row r="21" spans="1:6" ht="16" customHeight="1" x14ac:dyDescent="0.3">
      <c r="A21" s="62" t="s">
        <v>656</v>
      </c>
      <c r="B21" s="39"/>
      <c r="C21" s="39"/>
      <c r="D21" s="39"/>
      <c r="E21" s="39"/>
      <c r="F21" s="39"/>
    </row>
    <row r="22" spans="1:6" ht="16" customHeight="1" x14ac:dyDescent="0.3">
      <c r="A22" s="62" t="s">
        <v>657</v>
      </c>
      <c r="B22" s="39"/>
      <c r="C22" s="39"/>
      <c r="D22" s="39"/>
      <c r="E22" s="39"/>
      <c r="F22" s="39"/>
    </row>
    <row r="23" spans="1:6" ht="16" customHeight="1" x14ac:dyDescent="0.3">
      <c r="A23" s="62" t="s">
        <v>658</v>
      </c>
      <c r="B23" s="39"/>
      <c r="C23" s="39"/>
      <c r="D23" s="39"/>
      <c r="E23" s="39"/>
      <c r="F23" s="39"/>
    </row>
    <row r="24" spans="1:6" ht="16" customHeight="1" x14ac:dyDescent="0.3">
      <c r="A24" s="62" t="s">
        <v>659</v>
      </c>
      <c r="B24" s="39"/>
      <c r="C24" s="39"/>
      <c r="D24" s="39"/>
      <c r="E24" s="39"/>
      <c r="F24" s="39"/>
    </row>
    <row r="26" spans="1:6" ht="20" customHeight="1" x14ac:dyDescent="0.3">
      <c r="A26" s="43" t="s">
        <v>660</v>
      </c>
      <c r="B26" s="39"/>
      <c r="C26" s="39"/>
      <c r="D26" s="39"/>
      <c r="E26" s="39"/>
      <c r="F26" s="39"/>
    </row>
    <row r="27" spans="1:6" ht="16" customHeight="1" x14ac:dyDescent="0.3">
      <c r="A27" s="62" t="s">
        <v>661</v>
      </c>
      <c r="B27" s="39"/>
      <c r="C27" s="39"/>
      <c r="D27" s="39"/>
      <c r="E27" s="39"/>
      <c r="F27" s="39"/>
    </row>
    <row r="28" spans="1:6" ht="16" customHeight="1" x14ac:dyDescent="0.3">
      <c r="A28" s="62" t="s">
        <v>662</v>
      </c>
      <c r="B28" s="39"/>
      <c r="C28" s="39"/>
      <c r="D28" s="39"/>
      <c r="E28" s="39"/>
      <c r="F28" s="39"/>
    </row>
    <row r="29" spans="1:6" ht="16" customHeight="1" x14ac:dyDescent="0.3">
      <c r="A29" s="62" t="s">
        <v>663</v>
      </c>
      <c r="B29" s="39"/>
      <c r="C29" s="39"/>
      <c r="D29" s="39"/>
      <c r="E29" s="39"/>
      <c r="F29" s="39"/>
    </row>
    <row r="30" spans="1:6" ht="16" customHeight="1" x14ac:dyDescent="0.3">
      <c r="A30" s="62" t="s">
        <v>664</v>
      </c>
      <c r="B30" s="39"/>
      <c r="C30" s="39"/>
      <c r="D30" s="39"/>
      <c r="E30" s="39"/>
      <c r="F30" s="39"/>
    </row>
    <row r="33" spans="1:6" ht="20" customHeight="1" x14ac:dyDescent="0.3">
      <c r="A33" s="43" t="s">
        <v>665</v>
      </c>
      <c r="B33" s="39"/>
      <c r="C33" s="39"/>
      <c r="D33" s="39"/>
      <c r="E33" s="39"/>
      <c r="F33" s="39"/>
    </row>
    <row r="34" spans="1:6" x14ac:dyDescent="0.3">
      <c r="A34" s="27" t="s">
        <v>441</v>
      </c>
      <c r="B34" s="27" t="s">
        <v>666</v>
      </c>
      <c r="C34" s="27" t="s">
        <v>667</v>
      </c>
      <c r="D34" s="27" t="s">
        <v>668</v>
      </c>
      <c r="E34" s="27" t="s">
        <v>669</v>
      </c>
      <c r="F34" s="27" t="s">
        <v>670</v>
      </c>
    </row>
    <row r="35" spans="1:6" ht="26" customHeight="1" x14ac:dyDescent="0.3">
      <c r="A35" s="29">
        <v>1</v>
      </c>
      <c r="B35" s="25" t="s">
        <v>671</v>
      </c>
      <c r="C35" s="29" t="s">
        <v>640</v>
      </c>
      <c r="D35" s="29" t="s">
        <v>76</v>
      </c>
      <c r="E35" s="29" t="s">
        <v>672</v>
      </c>
      <c r="F35" s="25" t="s">
        <v>673</v>
      </c>
    </row>
    <row r="36" spans="1:6" ht="26" customHeight="1" x14ac:dyDescent="0.3">
      <c r="A36" s="29">
        <v>2</v>
      </c>
      <c r="B36" s="25" t="s">
        <v>674</v>
      </c>
      <c r="C36" s="29" t="s">
        <v>640</v>
      </c>
      <c r="D36" s="29" t="s">
        <v>81</v>
      </c>
      <c r="E36" s="29" t="s">
        <v>672</v>
      </c>
      <c r="F36" s="25" t="s">
        <v>673</v>
      </c>
    </row>
    <row r="37" spans="1:6" ht="26" customHeight="1" x14ac:dyDescent="0.3">
      <c r="A37" s="29">
        <v>3</v>
      </c>
      <c r="B37" s="25" t="s">
        <v>675</v>
      </c>
      <c r="C37" s="29" t="s">
        <v>640</v>
      </c>
      <c r="D37" s="29" t="s">
        <v>82</v>
      </c>
      <c r="E37" s="29" t="s">
        <v>672</v>
      </c>
      <c r="F37" s="25" t="s">
        <v>673</v>
      </c>
    </row>
    <row r="38" spans="1:6" ht="26" customHeight="1" x14ac:dyDescent="0.3">
      <c r="A38" s="29">
        <v>4</v>
      </c>
      <c r="B38" s="25" t="s">
        <v>676</v>
      </c>
      <c r="C38" s="29" t="s">
        <v>640</v>
      </c>
      <c r="D38" s="29" t="s">
        <v>77</v>
      </c>
      <c r="E38" s="29" t="s">
        <v>672</v>
      </c>
      <c r="F38" s="25" t="s">
        <v>673</v>
      </c>
    </row>
    <row r="39" spans="1:6" ht="26" customHeight="1" x14ac:dyDescent="0.3">
      <c r="A39" s="29">
        <v>5</v>
      </c>
      <c r="B39" s="25" t="s">
        <v>677</v>
      </c>
      <c r="C39" s="29" t="s">
        <v>646</v>
      </c>
      <c r="D39" s="29" t="s">
        <v>86</v>
      </c>
      <c r="E39" s="29" t="s">
        <v>672</v>
      </c>
      <c r="F39" s="25" t="s">
        <v>678</v>
      </c>
    </row>
    <row r="40" spans="1:6" ht="26" customHeight="1" x14ac:dyDescent="0.3">
      <c r="A40" s="29">
        <v>6</v>
      </c>
      <c r="B40" s="25" t="s">
        <v>679</v>
      </c>
      <c r="C40" s="29" t="s">
        <v>646</v>
      </c>
      <c r="D40" s="29" t="s">
        <v>84</v>
      </c>
      <c r="E40" s="29" t="s">
        <v>86</v>
      </c>
      <c r="F40" s="25" t="s">
        <v>678</v>
      </c>
    </row>
    <row r="41" spans="1:6" ht="26" customHeight="1" x14ac:dyDescent="0.3">
      <c r="A41" s="29">
        <v>7</v>
      </c>
      <c r="B41" s="25" t="s">
        <v>680</v>
      </c>
      <c r="C41" s="29" t="s">
        <v>646</v>
      </c>
      <c r="D41" s="29" t="s">
        <v>84</v>
      </c>
      <c r="E41" s="29" t="s">
        <v>672</v>
      </c>
      <c r="F41" s="25" t="s">
        <v>681</v>
      </c>
    </row>
    <row r="42" spans="1:6" ht="26" customHeight="1" x14ac:dyDescent="0.3">
      <c r="A42" s="29">
        <v>8</v>
      </c>
      <c r="B42" s="25" t="s">
        <v>682</v>
      </c>
      <c r="C42" s="29" t="s">
        <v>649</v>
      </c>
      <c r="D42" s="29" t="s">
        <v>442</v>
      </c>
      <c r="E42" s="29" t="s">
        <v>444</v>
      </c>
      <c r="F42" s="25" t="s">
        <v>683</v>
      </c>
    </row>
    <row r="43" spans="1:6" ht="26" customHeight="1" x14ac:dyDescent="0.3">
      <c r="A43" s="29">
        <v>9</v>
      </c>
      <c r="B43" s="25" t="s">
        <v>684</v>
      </c>
      <c r="C43" s="29" t="s">
        <v>640</v>
      </c>
      <c r="D43" s="29" t="s">
        <v>72</v>
      </c>
      <c r="E43" s="29" t="s">
        <v>76</v>
      </c>
      <c r="F43" s="25" t="s">
        <v>685</v>
      </c>
    </row>
    <row r="44" spans="1:6" ht="26" customHeight="1" x14ac:dyDescent="0.3">
      <c r="A44" s="29">
        <v>10</v>
      </c>
      <c r="B44" s="25" t="s">
        <v>686</v>
      </c>
      <c r="C44" s="29" t="s">
        <v>640</v>
      </c>
      <c r="D44" s="29" t="s">
        <v>72</v>
      </c>
      <c r="E44" s="29" t="s">
        <v>77</v>
      </c>
      <c r="F44" s="25" t="s">
        <v>685</v>
      </c>
    </row>
    <row r="46" spans="1:6" x14ac:dyDescent="0.3">
      <c r="A46" s="65" t="s">
        <v>687</v>
      </c>
      <c r="B46" s="39"/>
      <c r="C46" s="39"/>
      <c r="D46" s="39"/>
      <c r="E46" s="39"/>
      <c r="F46" s="39"/>
    </row>
    <row r="47" spans="1:6" x14ac:dyDescent="0.3">
      <c r="A47" s="39"/>
      <c r="B47" s="39"/>
      <c r="C47" s="39"/>
      <c r="D47" s="39"/>
      <c r="E47" s="39"/>
      <c r="F47" s="39"/>
    </row>
    <row r="48" spans="1:6" x14ac:dyDescent="0.3">
      <c r="A48" s="39"/>
      <c r="B48" s="39"/>
      <c r="C48" s="39"/>
      <c r="D48" s="39"/>
      <c r="E48" s="39"/>
      <c r="F48" s="39"/>
    </row>
    <row r="50" spans="1:6" ht="16" customHeight="1" x14ac:dyDescent="0.3">
      <c r="A50" s="45" t="s">
        <v>20</v>
      </c>
      <c r="B50" s="39"/>
      <c r="C50" s="39"/>
      <c r="D50" s="39"/>
      <c r="E50" s="39"/>
      <c r="F50" s="39"/>
    </row>
  </sheetData>
  <sheetProtection sheet="1" formatCells="0" formatColumns="0" formatRows="0"/>
  <mergeCells count="20">
    <mergeCell ref="A30:F30"/>
    <mergeCell ref="A24:F24"/>
    <mergeCell ref="A27:F27"/>
    <mergeCell ref="A18:F18"/>
    <mergeCell ref="A50:F50"/>
    <mergeCell ref="A26:F26"/>
    <mergeCell ref="A21:F21"/>
    <mergeCell ref="A1:F1"/>
    <mergeCell ref="A2:F2"/>
    <mergeCell ref="A33:F33"/>
    <mergeCell ref="A3:F7"/>
    <mergeCell ref="A46:F48"/>
    <mergeCell ref="A23:F23"/>
    <mergeCell ref="A22:F22"/>
    <mergeCell ref="A17:F17"/>
    <mergeCell ref="A20:F20"/>
    <mergeCell ref="A29:F29"/>
    <mergeCell ref="A28:F28"/>
    <mergeCell ref="A19:F19"/>
    <mergeCell ref="A9:F9"/>
  </mergeCells>
  <hyperlinks>
    <hyperlink ref="A50" r:id="rId1" xr:uid="{00000000-0004-0000-0B00-000000000000}"/>
  </hyperlinks>
  <pageMargins left="0.35" right="0.35" top="0.5" bottom="0.5" header="0.2" footer="0.2"/>
  <pageSetup fitToHeight="0" orientation="portrait"/>
  <headerFooter>
    <oddFooter>&amp;C&amp;8 &amp;K808080امتثال Imtithal.store — أداة تحليل فجوات ISO/IEC 17020:2026 (بيانات تجريبية DEMO حيث وردت) — صفحة &amp;P من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9A227"/>
    <pageSetUpPr fitToPage="1"/>
  </sheetPr>
  <dimension ref="A1:C41"/>
  <sheetViews>
    <sheetView showGridLines="0" rightToLeft="1" workbookViewId="0">
      <selection sqref="A1:B1"/>
    </sheetView>
  </sheetViews>
  <sheetFormatPr defaultRowHeight="14" x14ac:dyDescent="0.3"/>
  <cols>
    <col min="1" max="1" width="3" customWidth="1"/>
    <col min="2" max="2" width="108" customWidth="1"/>
    <col min="3" max="3" width="15" customWidth="1"/>
  </cols>
  <sheetData>
    <row r="1" spans="1:3" ht="30" customHeight="1" x14ac:dyDescent="0.3">
      <c r="A1" s="47" t="s">
        <v>21</v>
      </c>
      <c r="B1" s="35"/>
      <c r="C1" s="1"/>
    </row>
    <row r="2" spans="1:3" x14ac:dyDescent="0.3">
      <c r="C2" s="3"/>
    </row>
    <row r="4" spans="1:3" ht="20" customHeight="1" x14ac:dyDescent="0.3">
      <c r="B4" s="4" t="s">
        <v>22</v>
      </c>
    </row>
    <row r="5" spans="1:3" ht="54" customHeight="1" x14ac:dyDescent="0.3">
      <c r="B5" s="2" t="s">
        <v>23</v>
      </c>
    </row>
    <row r="7" spans="1:3" ht="20" customHeight="1" x14ac:dyDescent="0.3">
      <c r="B7" s="4" t="s">
        <v>24</v>
      </c>
    </row>
    <row r="8" spans="1:3" ht="38" customHeight="1" x14ac:dyDescent="0.3">
      <c r="B8" s="2" t="s">
        <v>25</v>
      </c>
    </row>
    <row r="10" spans="1:3" ht="20" customHeight="1" x14ac:dyDescent="0.3">
      <c r="B10" s="4" t="s">
        <v>26</v>
      </c>
    </row>
    <row r="11" spans="1:3" ht="54" customHeight="1" x14ac:dyDescent="0.3">
      <c r="B11" s="2" t="s">
        <v>27</v>
      </c>
    </row>
    <row r="13" spans="1:3" ht="20" customHeight="1" x14ac:dyDescent="0.3">
      <c r="B13" s="4" t="s">
        <v>28</v>
      </c>
    </row>
    <row r="14" spans="1:3" ht="54" customHeight="1" x14ac:dyDescent="0.3">
      <c r="B14" s="2" t="s">
        <v>29</v>
      </c>
    </row>
    <row r="16" spans="1:3" ht="20" customHeight="1" x14ac:dyDescent="0.3">
      <c r="B16" s="4" t="s">
        <v>30</v>
      </c>
    </row>
    <row r="17" spans="2:2" ht="38" customHeight="1" x14ac:dyDescent="0.3">
      <c r="B17" s="2" t="s">
        <v>31</v>
      </c>
    </row>
    <row r="19" spans="2:2" ht="20" customHeight="1" x14ac:dyDescent="0.3">
      <c r="B19" s="4" t="s">
        <v>32</v>
      </c>
    </row>
    <row r="20" spans="2:2" ht="54" customHeight="1" x14ac:dyDescent="0.3">
      <c r="B20" s="2" t="s">
        <v>33</v>
      </c>
    </row>
    <row r="22" spans="2:2" ht="20" customHeight="1" x14ac:dyDescent="0.3">
      <c r="B22" s="4" t="s">
        <v>34</v>
      </c>
    </row>
    <row r="23" spans="2:2" ht="54" customHeight="1" x14ac:dyDescent="0.3">
      <c r="B23" s="2" t="s">
        <v>35</v>
      </c>
    </row>
    <row r="25" spans="2:2" ht="20" customHeight="1" x14ac:dyDescent="0.3">
      <c r="B25" s="4" t="s">
        <v>36</v>
      </c>
    </row>
    <row r="26" spans="2:2" ht="70" customHeight="1" x14ac:dyDescent="0.3">
      <c r="B26" s="2" t="s">
        <v>37</v>
      </c>
    </row>
    <row r="28" spans="2:2" ht="20" customHeight="1" x14ac:dyDescent="0.3">
      <c r="B28" s="4" t="s">
        <v>38</v>
      </c>
    </row>
    <row r="29" spans="2:2" ht="70" customHeight="1" x14ac:dyDescent="0.3">
      <c r="B29" s="2" t="s">
        <v>39</v>
      </c>
    </row>
    <row r="31" spans="2:2" ht="20" customHeight="1" x14ac:dyDescent="0.3">
      <c r="B31" s="4" t="s">
        <v>40</v>
      </c>
    </row>
    <row r="32" spans="2:2" ht="54" customHeight="1" x14ac:dyDescent="0.3">
      <c r="B32" s="2" t="s">
        <v>41</v>
      </c>
    </row>
    <row r="34" spans="1:2" ht="20" customHeight="1" x14ac:dyDescent="0.3">
      <c r="B34" s="4" t="s">
        <v>42</v>
      </c>
    </row>
    <row r="35" spans="1:2" ht="54" customHeight="1" x14ac:dyDescent="0.3">
      <c r="B35" s="2" t="s">
        <v>43</v>
      </c>
    </row>
    <row r="37" spans="1:2" ht="20" customHeight="1" x14ac:dyDescent="0.3">
      <c r="B37" s="4" t="s">
        <v>44</v>
      </c>
    </row>
    <row r="38" spans="1:2" ht="38" customHeight="1" x14ac:dyDescent="0.3">
      <c r="B38" s="2" t="s">
        <v>45</v>
      </c>
    </row>
    <row r="41" spans="1:2" ht="16" customHeight="1" x14ac:dyDescent="0.3">
      <c r="A41" s="45" t="s">
        <v>20</v>
      </c>
      <c r="B41" s="39"/>
    </row>
  </sheetData>
  <sheetProtection algorithmName="SHA-512" hashValue="e2CPNIjzCtBlz8kS00gtnO3nvh5EXR71aNETo/X2MGNxEVD7K6jF5OTuvLykc3dTTKWn0B5ZRihbRV9/sAPC3A==" saltValue="bfCc9AxcvJQT9tXZT450gg==" spinCount="100000" sheet="1" formatCells="0" formatColumns="0" formatRows="0"/>
  <mergeCells count="2">
    <mergeCell ref="A41:B41"/>
    <mergeCell ref="A1:B1"/>
  </mergeCells>
  <hyperlinks>
    <hyperlink ref="A41" r:id="rId1" xr:uid="{00000000-0004-0000-0100-000000000000}"/>
  </hyperlinks>
  <pageMargins left="0.35" right="0.35" top="0.5" bottom="0.5" header="0.2" footer="0.2"/>
  <pageSetup fitToHeight="0" orientation="portrait"/>
  <headerFooter>
    <oddFooter>&amp;C&amp;8 &amp;K808080امتثال Imtithal.store — أداة تحليل فجوات ISO/IEC 17020:2026 (بيانات تجريبية DEMO حيث وردت) — صفحة &amp;P من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989AC-AC93-4697-A73E-3550B294BB4F}">
  <sheetPr>
    <tabColor theme="6" tint="0.39997558519241921"/>
  </sheetPr>
  <dimension ref="K5:Q10"/>
  <sheetViews>
    <sheetView showGridLines="0" rightToLeft="1" zoomScale="81" zoomScaleNormal="81" workbookViewId="0">
      <selection activeCell="AB1" sqref="AB1"/>
    </sheetView>
  </sheetViews>
  <sheetFormatPr defaultRowHeight="14" x14ac:dyDescent="0.3"/>
  <cols>
    <col min="16" max="16" width="17.9140625" customWidth="1"/>
    <col min="17" max="17" width="14.58203125" bestFit="1" customWidth="1"/>
  </cols>
  <sheetData>
    <row r="5" spans="11:17" ht="14.4" x14ac:dyDescent="0.3">
      <c r="Q5" s="30"/>
    </row>
    <row r="8" spans="11:17" ht="23.5" x14ac:dyDescent="0.3">
      <c r="K8" s="67">
        <f>COUNTIF(GapSeverity,"حرج")</f>
        <v>2</v>
      </c>
      <c r="L8" s="39"/>
    </row>
    <row r="9" spans="11:17" x14ac:dyDescent="0.3">
      <c r="K9" s="39"/>
      <c r="L9" s="39"/>
    </row>
    <row r="10" spans="11:17" ht="14.4" x14ac:dyDescent="0.3">
      <c r="O10" s="31"/>
    </row>
  </sheetData>
  <sheetProtection algorithmName="SHA-512" hashValue="dHNfWJ5+TpdYssXph+RRTpsBgVDdXjy1FVj+sAwZRHww1DviC+WagT3nnEnFEPpUFJZiXzJKZChqY7gCO0hvWg==" saltValue="2J+i8l3nJSll07uOvcKdwA==" spinCount="100000" sheet="1" objects="1" scenarios="1"/>
  <mergeCells count="2">
    <mergeCell ref="K8:L8"/>
    <mergeCell ref="K9:L9"/>
  </mergeCells>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9A227"/>
    <pageSetUpPr fitToPage="1"/>
  </sheetPr>
  <dimension ref="A1:E20"/>
  <sheetViews>
    <sheetView rightToLeft="1" workbookViewId="0">
      <pane ySplit="3" topLeftCell="A4" activePane="bottomLeft" state="frozen"/>
      <selection pane="bottomLeft" sqref="A1:D1"/>
    </sheetView>
  </sheetViews>
  <sheetFormatPr defaultRowHeight="14" x14ac:dyDescent="0.3"/>
  <cols>
    <col min="1" max="1" width="4" customWidth="1"/>
    <col min="2" max="2" width="30" customWidth="1"/>
    <col min="3" max="3" width="45" customWidth="1"/>
    <col min="4" max="4" width="30" customWidth="1"/>
    <col min="5" max="5" width="15" customWidth="1"/>
  </cols>
  <sheetData>
    <row r="1" spans="1:5" ht="30" customHeight="1" x14ac:dyDescent="0.3">
      <c r="A1" s="47" t="s">
        <v>46</v>
      </c>
      <c r="B1" s="35"/>
      <c r="C1" s="35"/>
      <c r="D1" s="35"/>
      <c r="E1" s="1"/>
    </row>
    <row r="2" spans="1:5" ht="18" customHeight="1" x14ac:dyDescent="0.3">
      <c r="A2" s="49" t="s">
        <v>47</v>
      </c>
      <c r="B2" s="50"/>
      <c r="C2" s="50"/>
      <c r="D2" s="50"/>
      <c r="E2" s="5"/>
    </row>
    <row r="4" spans="1:5" ht="20" customHeight="1" x14ac:dyDescent="0.3">
      <c r="B4" s="6" t="s">
        <v>48</v>
      </c>
      <c r="C4" s="7" t="s">
        <v>49</v>
      </c>
    </row>
    <row r="5" spans="1:5" ht="20" customHeight="1" x14ac:dyDescent="0.3">
      <c r="B5" s="6" t="s">
        <v>50</v>
      </c>
      <c r="C5" s="7" t="s">
        <v>51</v>
      </c>
    </row>
    <row r="6" spans="1:5" ht="20" customHeight="1" x14ac:dyDescent="0.3">
      <c r="B6" s="6" t="s">
        <v>52</v>
      </c>
      <c r="C6" s="7" t="s">
        <v>53</v>
      </c>
    </row>
    <row r="7" spans="1:5" ht="20" customHeight="1" x14ac:dyDescent="0.3">
      <c r="B7" s="6" t="s">
        <v>54</v>
      </c>
      <c r="C7" s="8">
        <v>46264</v>
      </c>
    </row>
    <row r="8" spans="1:5" ht="20" customHeight="1" x14ac:dyDescent="0.3">
      <c r="B8" s="6" t="s">
        <v>55</v>
      </c>
      <c r="C8" s="7" t="s">
        <v>56</v>
      </c>
    </row>
    <row r="9" spans="1:5" ht="20" customHeight="1" x14ac:dyDescent="0.3">
      <c r="B9" s="6" t="s">
        <v>57</v>
      </c>
      <c r="C9" s="7" t="s">
        <v>58</v>
      </c>
    </row>
    <row r="10" spans="1:5" ht="20" customHeight="1" x14ac:dyDescent="0.3">
      <c r="B10" s="6" t="s">
        <v>59</v>
      </c>
      <c r="C10" s="7" t="s">
        <v>60</v>
      </c>
    </row>
    <row r="11" spans="1:5" ht="20" customHeight="1" x14ac:dyDescent="0.3">
      <c r="B11" s="6" t="s">
        <v>61</v>
      </c>
      <c r="C11" s="7" t="s">
        <v>62</v>
      </c>
    </row>
    <row r="12" spans="1:5" ht="20" customHeight="1" x14ac:dyDescent="0.3">
      <c r="B12" s="6" t="s">
        <v>63</v>
      </c>
      <c r="C12" s="7" t="s">
        <v>64</v>
      </c>
    </row>
    <row r="13" spans="1:5" ht="20" customHeight="1" x14ac:dyDescent="0.3">
      <c r="B13" s="6" t="s">
        <v>65</v>
      </c>
      <c r="C13" s="7" t="s">
        <v>1</v>
      </c>
    </row>
    <row r="14" spans="1:5" ht="20" customHeight="1" x14ac:dyDescent="0.3">
      <c r="B14" s="6" t="s">
        <v>66</v>
      </c>
      <c r="C14" s="8">
        <v>47204</v>
      </c>
    </row>
    <row r="16" spans="1:5" x14ac:dyDescent="0.3">
      <c r="B16" s="48" t="s">
        <v>67</v>
      </c>
      <c r="C16" s="39"/>
      <c r="D16" s="39"/>
    </row>
    <row r="17" spans="1:4" x14ac:dyDescent="0.3">
      <c r="B17" s="39"/>
      <c r="C17" s="39"/>
      <c r="D17" s="39"/>
    </row>
    <row r="18" spans="1:4" x14ac:dyDescent="0.3">
      <c r="B18" s="39"/>
      <c r="C18" s="39"/>
      <c r="D18" s="39"/>
    </row>
    <row r="20" spans="1:4" ht="16" customHeight="1" x14ac:dyDescent="0.3">
      <c r="A20" s="45" t="s">
        <v>20</v>
      </c>
      <c r="B20" s="39"/>
      <c r="C20" s="39"/>
      <c r="D20" s="39"/>
    </row>
  </sheetData>
  <sheetProtection algorithmName="SHA-512" hashValue="YpjHZz3kzAIw9Sp+/dvU6v1oeGFEAy7UysYkmHKZu7PsTJ7go+yTDw4QenxzSG3Et03u8ruJZkWHKZ8OejE4Gg==" saltValue="XfybJNgCKisza2vbYTGOvA==" spinCount="100000" sheet="1" formatCells="0" formatColumns="0" formatRows="0"/>
  <mergeCells count="4">
    <mergeCell ref="A1:D1"/>
    <mergeCell ref="B16:D18"/>
    <mergeCell ref="A20:D20"/>
    <mergeCell ref="A2:D2"/>
  </mergeCells>
  <dataValidations count="1">
    <dataValidation type="list" allowBlank="1" showErrorMessage="1" errorTitle="قيمة غير صحيحة" error="الرجاء اختيار قيمة من القائمة" sqref="C5" xr:uid="{00000000-0002-0000-0200-000000000000}">
      <formula1>List_OrgType</formula1>
    </dataValidation>
  </dataValidations>
  <hyperlinks>
    <hyperlink ref="A20" r:id="rId1" xr:uid="{00000000-0004-0000-0200-000000000000}"/>
  </hyperlinks>
  <pageMargins left="0.35" right="0.35" top="0.5" bottom="0.5" header="0.2" footer="0.2"/>
  <pageSetup fitToHeight="0" orientation="portrait"/>
  <headerFooter>
    <oddFooter>&amp;C&amp;8 &amp;K808080امتثال Imtithal.store — أداة تحليل فجوات ISO/IEC 17020:2026 (بيانات تجريبية DEMO حيث وردت) — صفحة &amp;P من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D2109-5484-4F4A-BBF6-BA8B6AAAA01A}">
  <dimension ref="A3:T38"/>
  <sheetViews>
    <sheetView rightToLeft="1" topLeftCell="A19" workbookViewId="0">
      <selection activeCell="D27" sqref="D27"/>
    </sheetView>
  </sheetViews>
  <sheetFormatPr defaultRowHeight="14" x14ac:dyDescent="0.3"/>
  <cols>
    <col min="1" max="1" width="16.25" bestFit="1" customWidth="1"/>
    <col min="2" max="2" width="16.5" bestFit="1" customWidth="1"/>
    <col min="4" max="4" width="12.9140625" bestFit="1" customWidth="1"/>
    <col min="5" max="5" width="11.5" bestFit="1" customWidth="1"/>
    <col min="7" max="7" width="12.9140625" bestFit="1" customWidth="1"/>
    <col min="8" max="8" width="11.5" bestFit="1" customWidth="1"/>
    <col min="10" max="10" width="12.9140625" bestFit="1" customWidth="1"/>
    <col min="11" max="11" width="11.5" bestFit="1" customWidth="1"/>
    <col min="13" max="13" width="12.9140625" bestFit="1" customWidth="1"/>
    <col min="14" max="14" width="11.5" bestFit="1" customWidth="1"/>
    <col min="16" max="16" width="12.9140625" bestFit="1" customWidth="1"/>
    <col min="17" max="17" width="11.08203125" bestFit="1" customWidth="1"/>
    <col min="19" max="19" width="12.9140625" bestFit="1" customWidth="1"/>
    <col min="20" max="20" width="11.5" bestFit="1" customWidth="1"/>
  </cols>
  <sheetData>
    <row r="3" spans="1:20" x14ac:dyDescent="0.3">
      <c r="A3" s="33" t="s">
        <v>688</v>
      </c>
      <c r="B3" t="s">
        <v>690</v>
      </c>
      <c r="D3" s="33" t="s">
        <v>688</v>
      </c>
      <c r="E3" t="s">
        <v>691</v>
      </c>
      <c r="G3" s="33" t="s">
        <v>688</v>
      </c>
      <c r="H3" t="s">
        <v>691</v>
      </c>
      <c r="J3" s="33" t="s">
        <v>688</v>
      </c>
      <c r="K3" t="s">
        <v>693</v>
      </c>
      <c r="M3" s="33" t="s">
        <v>688</v>
      </c>
      <c r="N3" t="s">
        <v>691</v>
      </c>
      <c r="P3" s="33" t="s">
        <v>688</v>
      </c>
      <c r="Q3" t="s">
        <v>694</v>
      </c>
      <c r="S3" s="33" t="s">
        <v>688</v>
      </c>
      <c r="T3" t="s">
        <v>691</v>
      </c>
    </row>
    <row r="4" spans="1:20" x14ac:dyDescent="0.3">
      <c r="A4" s="34" t="s">
        <v>210</v>
      </c>
      <c r="B4" s="66">
        <v>3</v>
      </c>
      <c r="D4" s="34" t="s">
        <v>109</v>
      </c>
      <c r="E4" s="66">
        <v>10</v>
      </c>
      <c r="G4" s="34" t="s">
        <v>141</v>
      </c>
      <c r="H4" s="66">
        <v>10</v>
      </c>
      <c r="J4" s="34" t="s">
        <v>221</v>
      </c>
      <c r="K4" s="66">
        <v>1</v>
      </c>
      <c r="M4" s="34" t="s">
        <v>97</v>
      </c>
      <c r="N4" s="66">
        <v>12</v>
      </c>
      <c r="P4" s="34" t="s">
        <v>445</v>
      </c>
      <c r="Q4" s="66">
        <v>5</v>
      </c>
      <c r="S4" s="34" t="s">
        <v>110</v>
      </c>
      <c r="T4" s="66">
        <v>11</v>
      </c>
    </row>
    <row r="5" spans="1:20" x14ac:dyDescent="0.3">
      <c r="A5" s="34" t="s">
        <v>163</v>
      </c>
      <c r="B5" s="66">
        <v>4</v>
      </c>
      <c r="D5" s="34" t="s">
        <v>171</v>
      </c>
      <c r="E5" s="66">
        <v>1</v>
      </c>
      <c r="G5" s="34" t="s">
        <v>112</v>
      </c>
      <c r="H5" s="66">
        <v>2</v>
      </c>
      <c r="J5" s="34" t="s">
        <v>99</v>
      </c>
      <c r="K5" s="66">
        <v>10</v>
      </c>
      <c r="M5" s="34" t="s">
        <v>120</v>
      </c>
      <c r="N5" s="66">
        <v>9</v>
      </c>
      <c r="P5" s="34" t="s">
        <v>456</v>
      </c>
      <c r="Q5" s="66">
        <v>5</v>
      </c>
      <c r="S5" s="34" t="s">
        <v>171</v>
      </c>
      <c r="T5" s="66">
        <v>1</v>
      </c>
    </row>
    <row r="6" spans="1:20" x14ac:dyDescent="0.3">
      <c r="A6" s="34" t="s">
        <v>89</v>
      </c>
      <c r="B6" s="66">
        <v>3</v>
      </c>
      <c r="D6" s="34" t="s">
        <v>103</v>
      </c>
      <c r="E6" s="66">
        <v>7</v>
      </c>
      <c r="G6" s="34" t="s">
        <v>96</v>
      </c>
      <c r="H6" s="66">
        <v>13</v>
      </c>
      <c r="J6" s="34" t="s">
        <v>127</v>
      </c>
      <c r="K6" s="66">
        <v>10</v>
      </c>
      <c r="M6" s="34" t="s">
        <v>152</v>
      </c>
      <c r="N6" s="66">
        <v>6</v>
      </c>
      <c r="P6" s="34" t="s">
        <v>467</v>
      </c>
      <c r="Q6" s="66">
        <v>5</v>
      </c>
      <c r="S6" s="34" t="s">
        <v>104</v>
      </c>
      <c r="T6" s="66">
        <v>10</v>
      </c>
    </row>
    <row r="7" spans="1:20" x14ac:dyDescent="0.3">
      <c r="A7" s="34" t="s">
        <v>106</v>
      </c>
      <c r="B7" s="66">
        <v>3</v>
      </c>
      <c r="D7" s="34" t="s">
        <v>92</v>
      </c>
      <c r="E7" s="66">
        <v>17</v>
      </c>
      <c r="G7" s="34" t="s">
        <v>171</v>
      </c>
      <c r="H7" s="66">
        <v>1</v>
      </c>
      <c r="J7" s="34" t="s">
        <v>115</v>
      </c>
      <c r="K7" s="66">
        <v>4</v>
      </c>
      <c r="M7" s="34" t="s">
        <v>692</v>
      </c>
      <c r="N7" s="66">
        <v>8</v>
      </c>
      <c r="P7" s="34" t="s">
        <v>478</v>
      </c>
      <c r="Q7" s="66">
        <v>5</v>
      </c>
      <c r="S7" s="34" t="s">
        <v>93</v>
      </c>
      <c r="T7" s="66">
        <v>13</v>
      </c>
    </row>
    <row r="8" spans="1:20" x14ac:dyDescent="0.3">
      <c r="A8" s="34" t="s">
        <v>183</v>
      </c>
      <c r="B8" s="66">
        <v>3</v>
      </c>
      <c r="D8" s="34" t="s">
        <v>689</v>
      </c>
      <c r="E8" s="66">
        <v>35</v>
      </c>
      <c r="G8" s="34" t="s">
        <v>198</v>
      </c>
      <c r="H8" s="66">
        <v>2</v>
      </c>
      <c r="J8" s="34" t="s">
        <v>208</v>
      </c>
      <c r="K8" s="66">
        <v>2</v>
      </c>
      <c r="M8" s="34" t="s">
        <v>689</v>
      </c>
      <c r="N8" s="66">
        <v>35</v>
      </c>
      <c r="P8" s="34" t="s">
        <v>689</v>
      </c>
      <c r="Q8" s="66">
        <v>20</v>
      </c>
      <c r="S8" s="34" t="s">
        <v>689</v>
      </c>
      <c r="T8" s="66">
        <v>35</v>
      </c>
    </row>
    <row r="9" spans="1:20" x14ac:dyDescent="0.3">
      <c r="A9" s="34" t="s">
        <v>173</v>
      </c>
      <c r="B9" s="66">
        <v>3</v>
      </c>
      <c r="G9" s="34" t="s">
        <v>692</v>
      </c>
      <c r="H9" s="66">
        <v>7</v>
      </c>
      <c r="J9" s="34" t="s">
        <v>689</v>
      </c>
      <c r="K9" s="66">
        <v>27</v>
      </c>
    </row>
    <row r="10" spans="1:20" x14ac:dyDescent="0.3">
      <c r="A10" s="34" t="s">
        <v>122</v>
      </c>
      <c r="B10" s="66">
        <v>4</v>
      </c>
      <c r="G10" s="34" t="s">
        <v>689</v>
      </c>
      <c r="H10" s="66">
        <v>35</v>
      </c>
    </row>
    <row r="11" spans="1:20" x14ac:dyDescent="0.3">
      <c r="A11" s="34" t="s">
        <v>136</v>
      </c>
      <c r="B11" s="66">
        <v>4</v>
      </c>
    </row>
    <row r="12" spans="1:20" x14ac:dyDescent="0.3">
      <c r="A12" s="34" t="s">
        <v>154</v>
      </c>
      <c r="B12" s="66">
        <v>4</v>
      </c>
    </row>
    <row r="13" spans="1:20" x14ac:dyDescent="0.3">
      <c r="A13" s="34" t="s">
        <v>193</v>
      </c>
      <c r="B13" s="66">
        <v>4</v>
      </c>
    </row>
    <row r="14" spans="1:20" x14ac:dyDescent="0.3">
      <c r="A14" s="34" t="s">
        <v>689</v>
      </c>
      <c r="B14" s="66">
        <v>35</v>
      </c>
    </row>
    <row r="25" spans="3:4" x14ac:dyDescent="0.3">
      <c r="C25" s="31">
        <f>IFERROR((GETPIVOTDATA("الرقم",$D$3,"الحالة الحالية","مطبق بالكامل")+GETPIVOTDATA("الرقم",$D$3,"الحالة الحالية","مطبق جزئيًا")*0.5)/(GETPIVOTDATA("الرقم",$D$3)-GETPIVOTDATA("الرقم",$D$3,"الحالة الحالية","لا ينطبق")),0)</f>
        <v>0.45588235294117646</v>
      </c>
    </row>
    <row r="26" spans="3:4" x14ac:dyDescent="0.3">
      <c r="C26">
        <f>IFERROR(GETPIVOTDATA("الرقم",$D$3),0)</f>
        <v>35</v>
      </c>
    </row>
    <row r="27" spans="3:4" x14ac:dyDescent="0.3">
      <c r="C27">
        <f>IFERROR(GETPIVOTDATA("الرقم",$D$3,"الحالة الحالية","مطبق بالكامل"),0)</f>
        <v>7</v>
      </c>
      <c r="D27" t="str">
        <f>IFERROR(GETPIVOTDATA("الرقم",$S$3,"توفر الدليل","متوفر"),0)&amp;" متوفر "&amp;_xlfn.UNICHAR(8207)&amp;" | "&amp;_xlfn.UNICHAR(8207)&amp;IFERROR(GETPIVOTDATA("الرقم",$S$3,"توفر الدليل","متوفر جزئيًا"),0)&amp;" جزئي "&amp;_xlfn.UNICHAR(8207)&amp;" | "&amp;_xlfn.UNICHAR(8207)&amp;IFERROR(GETPIVOTDATA("الرقم",$S$3,"توفر الدليل","غير متوفر"),0)&amp;" غير متوفر"</f>
        <v>10 متوفر ‏ | ‏13 جزئي ‏ | ‏11 غير متوفر</v>
      </c>
    </row>
    <row r="28" spans="3:4" x14ac:dyDescent="0.3">
      <c r="C28">
        <f>IFERROR(GETPIVOTDATA("الرقم",$D$3,"الحالة الحالية","غير مطبق"),0)</f>
        <v>10</v>
      </c>
      <c r="D28" t="str">
        <f>IFERROR(GETPIVOTDATA("الرقم",$D$3,"الحالة الحالية","مطبق بالكامل"),0)&amp;" مطبق "&amp;_xlfn.UNICHAR(8207)&amp;" | "&amp;_xlfn.UNICHAR(8207)&amp;IFERROR(GETPIVOTDATA("الرقم",$D$3,"الحالة الحالية","مطبق جزئيًا"),0)&amp;" جزئي "&amp;_xlfn.UNICHAR(8207)&amp;" | "&amp;_xlfn.UNICHAR(8207)&amp;IFERROR(GETPIVOTDATA("الرقم",$D$3,"الحالة الحالية","غير مطبق"),0)&amp;" غير مطبق"</f>
        <v>7 مطبق ‏ | ‏17 جزئي ‏ | ‏10 غير مطبق</v>
      </c>
    </row>
    <row r="29" spans="3:4" x14ac:dyDescent="0.3">
      <c r="C29" s="32">
        <f>IFERROR((GETPIVOTDATA("الرقم",$S$3,"توفر الدليل","متوفر")+GETPIVOTDATA("الرقم",$S$3,"توفر الدليل","متوفر جزئيًا")*0.5)/(GETPIVOTDATA("الرقم",$S$3)-GETPIVOTDATA("الرقم",$S$3,"توفر الدليل","لا ينطبق")),0)</f>
        <v>0.48529411764705882</v>
      </c>
      <c r="D29" t="str">
        <f>COUNTIFS('04_تحليل الفجوات'!K5:K39,"حرج",'04_تحليل الفجوات'!G5:G39,"غير متوفر")&amp;" بدون دليل "&amp;_xlfn.UNICHAR(8207)&amp;" | "&amp;_xlfn.UNICHAR(8207)&amp;COUNTIFS('04_تحليل الفجوات'!K5:K39,"حرج",'04_تحليل الفجوات'!G5:G39,"متوفر جزئيًا")&amp;" دليل جزئي"</f>
        <v>2 بدون دليل ‏ | ‏0 دليل جزئي</v>
      </c>
    </row>
    <row r="30" spans="3:4" x14ac:dyDescent="0.3">
      <c r="C30">
        <f>IFERROR(GETPIVOTDATA("الرقم",$M$3,"الأولوية","عالية"),0)</f>
        <v>12</v>
      </c>
      <c r="D30" t="str">
        <f>IFERROR(GETPIVOTDATA("رقم الإجراء",$J$3,"حالة الإجراء","قيد التنفيذ"),0)&amp;" قيد التنفيذ "&amp;_xlfn.UNICHAR(8207)&amp;" | "&amp;_xlfn.UNICHAR(8207)&amp;IFERROR(GETPIVOTDATA("رقم الإجراء",$J$3,"حالة الإجراء","لم يبدأ"),0)&amp;" لم يبدأ"</f>
        <v>10 قيد التنفيذ ‏ | ‏10 لم يبدأ</v>
      </c>
    </row>
    <row r="31" spans="3:4" x14ac:dyDescent="0.3">
      <c r="C31">
        <f>IFERROR(GETPIVOTDATA("رقم الإجراء",$J$3,"حالة الإجراء","قيد التنفيذ"),0)+IFERROR(GETPIVOTDATA("رقم الإجراء",$J$3,"حالة الإجراء","لم يبدأ"),0)</f>
        <v>20</v>
      </c>
    </row>
    <row r="32" spans="3:4" x14ac:dyDescent="0.3">
      <c r="C32">
        <f>IFERROR(GETPIVOTDATA("رقم الإجراء",$J$3,"حالة الإجراء","متأخر"),0)</f>
        <v>4</v>
      </c>
    </row>
    <row r="33" spans="10:11" x14ac:dyDescent="0.3">
      <c r="J33" s="33" t="s">
        <v>688</v>
      </c>
      <c r="K33" t="s">
        <v>691</v>
      </c>
    </row>
    <row r="34" spans="10:11" x14ac:dyDescent="0.3">
      <c r="J34" s="34" t="s">
        <v>109</v>
      </c>
      <c r="K34" s="66">
        <v>10</v>
      </c>
    </row>
    <row r="35" spans="10:11" x14ac:dyDescent="0.3">
      <c r="J35" s="34" t="s">
        <v>171</v>
      </c>
      <c r="K35" s="66">
        <v>1</v>
      </c>
    </row>
    <row r="36" spans="10:11" x14ac:dyDescent="0.3">
      <c r="J36" s="34" t="s">
        <v>103</v>
      </c>
      <c r="K36" s="66">
        <v>7</v>
      </c>
    </row>
    <row r="37" spans="10:11" x14ac:dyDescent="0.3">
      <c r="J37" s="34" t="s">
        <v>92</v>
      </c>
      <c r="K37" s="66">
        <v>17</v>
      </c>
    </row>
    <row r="38" spans="10:11" x14ac:dyDescent="0.3">
      <c r="J38" s="34" t="s">
        <v>689</v>
      </c>
      <c r="K38" s="66">
        <v>35</v>
      </c>
    </row>
  </sheetData>
  <sheetProtection algorithmName="SHA-512" hashValue="MPZmv+KeYBd7I8wqWqjZvCSiZ9AEA0IZzhNypxRQsWBukIx4vhwBaWUz7hqujjlC35uzeX07kdjYOW04AcHxXA==" saltValue="A4XeFTxLswYCagXP+7H6y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B1220"/>
    <pageSetUpPr fitToPage="1"/>
  </sheetPr>
  <dimension ref="A1:S45"/>
  <sheetViews>
    <sheetView rightToLeft="1" workbookViewId="0">
      <pane xSplit="3" ySplit="5" topLeftCell="H6" activePane="bottomRight" state="frozen"/>
      <selection pane="topRight"/>
      <selection pane="bottomLeft"/>
      <selection pane="bottomRight" sqref="A1:R1"/>
    </sheetView>
  </sheetViews>
  <sheetFormatPr defaultRowHeight="14" x14ac:dyDescent="0.3"/>
  <cols>
    <col min="1" max="1" width="6" customWidth="1"/>
    <col min="2" max="2" width="14.9140625" bestFit="1" customWidth="1"/>
    <col min="3" max="3" width="12.25" bestFit="1" customWidth="1"/>
    <col min="4" max="4" width="34" customWidth="1"/>
    <col min="5" max="5" width="30" customWidth="1"/>
    <col min="6" max="6" width="13" customWidth="1"/>
    <col min="7" max="7" width="12" customWidth="1"/>
    <col min="8" max="8" width="18" customWidth="1"/>
    <col min="9" max="9" width="11" customWidth="1"/>
    <col min="10" max="10" width="26" customWidth="1"/>
    <col min="11" max="12" width="10" customWidth="1"/>
    <col min="13" max="13" width="26" customWidth="1"/>
    <col min="14" max="14" width="14" customWidth="1"/>
    <col min="15" max="15" width="12" customWidth="1"/>
    <col min="16" max="16" width="14" customWidth="1"/>
    <col min="17" max="18" width="12" customWidth="1"/>
    <col min="19" max="19" width="15" customWidth="1"/>
  </cols>
  <sheetData>
    <row r="1" spans="1:19" ht="30" customHeight="1" x14ac:dyDescent="0.3">
      <c r="A1" s="47" t="s">
        <v>68</v>
      </c>
      <c r="B1" s="35"/>
      <c r="C1" s="35"/>
      <c r="D1" s="35"/>
      <c r="E1" s="35"/>
      <c r="F1" s="35"/>
      <c r="G1" s="35"/>
      <c r="H1" s="35"/>
      <c r="I1" s="35"/>
      <c r="J1" s="35"/>
      <c r="K1" s="35"/>
      <c r="L1" s="35"/>
      <c r="M1" s="35"/>
      <c r="N1" s="35"/>
      <c r="O1" s="35"/>
      <c r="P1" s="35"/>
      <c r="Q1" s="35"/>
      <c r="R1" s="35"/>
      <c r="S1" s="1"/>
    </row>
    <row r="2" spans="1:19" ht="18" customHeight="1" x14ac:dyDescent="0.3">
      <c r="A2" s="49" t="s">
        <v>69</v>
      </c>
      <c r="B2" s="50"/>
      <c r="C2" s="50"/>
      <c r="D2" s="50"/>
      <c r="E2" s="50"/>
      <c r="F2" s="50"/>
      <c r="G2" s="50"/>
      <c r="H2" s="50"/>
      <c r="I2" s="50"/>
      <c r="J2" s="50"/>
      <c r="K2" s="50"/>
      <c r="L2" s="50"/>
      <c r="M2" s="50"/>
      <c r="N2" s="50"/>
      <c r="O2" s="50"/>
      <c r="P2" s="50"/>
      <c r="Q2" s="50"/>
      <c r="R2" s="50"/>
      <c r="S2" s="5"/>
    </row>
    <row r="3" spans="1:19" ht="20" customHeight="1" x14ac:dyDescent="0.3">
      <c r="A3" s="52" t="str">
        <f>"إجمالي المتطلبات: "&amp;COUNTA(D6:D40)&amp;"   |   نسبة الجاهزية العامة: "&amp;TEXT(IFERROR((COUNTIF(F6:F40,"مطبق بالكامل")+COUNTIF(F6:F40,"مطبق جزئيًا")*0.5)/(COUNTA(D6:D40)-COUNTIF(F6:F40,"لا ينطبق")),0),"0%")&amp;"   |   فجوات حرجة: "&amp;COUNTIF(K6:K40,"حرج")</f>
        <v>إجمالي المتطلبات: 35   |   نسبة الجاهزية العامة: 46%   |   فجوات حرجة: 2</v>
      </c>
      <c r="B3" s="39"/>
      <c r="C3" s="39"/>
      <c r="D3" s="39"/>
      <c r="E3" s="51" t="s">
        <v>70</v>
      </c>
      <c r="F3" s="39"/>
      <c r="G3" s="39"/>
      <c r="H3" s="39"/>
      <c r="I3" s="39"/>
      <c r="J3" s="39"/>
      <c r="K3" s="39"/>
      <c r="L3" s="39"/>
      <c r="M3" s="39"/>
      <c r="N3" s="39"/>
      <c r="O3" s="39"/>
      <c r="P3" s="39"/>
      <c r="Q3" s="39"/>
      <c r="R3" s="39"/>
    </row>
    <row r="5" spans="1:19" ht="34" customHeight="1" x14ac:dyDescent="0.3">
      <c r="A5" s="9" t="s">
        <v>71</v>
      </c>
      <c r="B5" s="9" t="s">
        <v>72</v>
      </c>
      <c r="C5" s="9" t="s">
        <v>73</v>
      </c>
      <c r="D5" s="9" t="s">
        <v>74</v>
      </c>
      <c r="E5" s="9" t="s">
        <v>75</v>
      </c>
      <c r="F5" s="9" t="s">
        <v>76</v>
      </c>
      <c r="G5" s="9" t="s">
        <v>77</v>
      </c>
      <c r="H5" s="9" t="s">
        <v>78</v>
      </c>
      <c r="I5" s="9" t="s">
        <v>79</v>
      </c>
      <c r="J5" s="9" t="s">
        <v>80</v>
      </c>
      <c r="K5" s="9" t="s">
        <v>81</v>
      </c>
      <c r="L5" s="9" t="s">
        <v>82</v>
      </c>
      <c r="M5" s="9" t="s">
        <v>83</v>
      </c>
      <c r="N5" s="9" t="s">
        <v>84</v>
      </c>
      <c r="O5" s="9" t="s">
        <v>85</v>
      </c>
      <c r="P5" s="9" t="s">
        <v>86</v>
      </c>
      <c r="Q5" s="9" t="s">
        <v>87</v>
      </c>
      <c r="R5" s="9" t="s">
        <v>88</v>
      </c>
    </row>
    <row r="6" spans="1:19" ht="46" customHeight="1" x14ac:dyDescent="0.3">
      <c r="A6" s="10">
        <f t="shared" ref="A6:A40" si="0">ROW()-5</f>
        <v>1</v>
      </c>
      <c r="B6" s="11" t="s">
        <v>89</v>
      </c>
      <c r="C6" s="11"/>
      <c r="D6" s="12" t="s">
        <v>90</v>
      </c>
      <c r="E6" s="12" t="s">
        <v>91</v>
      </c>
      <c r="F6" s="11" t="s">
        <v>92</v>
      </c>
      <c r="G6" s="11" t="s">
        <v>93</v>
      </c>
      <c r="H6" s="13"/>
      <c r="I6" s="11" t="s">
        <v>94</v>
      </c>
      <c r="J6" s="13" t="s">
        <v>95</v>
      </c>
      <c r="K6" s="11" t="s">
        <v>96</v>
      </c>
      <c r="L6" s="11" t="s">
        <v>97</v>
      </c>
      <c r="M6" s="13" t="s">
        <v>98</v>
      </c>
      <c r="N6" s="11" t="s">
        <v>57</v>
      </c>
      <c r="O6" s="14">
        <v>46310</v>
      </c>
      <c r="P6" s="11" t="s">
        <v>99</v>
      </c>
      <c r="Q6" s="11" t="s">
        <v>100</v>
      </c>
      <c r="R6" s="14"/>
    </row>
    <row r="7" spans="1:19" ht="46" customHeight="1" x14ac:dyDescent="0.3">
      <c r="A7" s="10">
        <f t="shared" si="0"/>
        <v>2</v>
      </c>
      <c r="B7" s="11" t="s">
        <v>89</v>
      </c>
      <c r="C7" s="11"/>
      <c r="D7" s="12" t="s">
        <v>101</v>
      </c>
      <c r="E7" s="12" t="s">
        <v>102</v>
      </c>
      <c r="F7" s="11" t="s">
        <v>103</v>
      </c>
      <c r="G7" s="11" t="s">
        <v>104</v>
      </c>
      <c r="H7" s="13"/>
      <c r="I7" s="11" t="s">
        <v>105</v>
      </c>
      <c r="J7" s="13"/>
      <c r="K7" s="11"/>
      <c r="L7" s="11"/>
      <c r="M7" s="13"/>
      <c r="N7" s="11"/>
      <c r="O7" s="14"/>
      <c r="P7" s="11"/>
      <c r="Q7" s="11"/>
      <c r="R7" s="14"/>
    </row>
    <row r="8" spans="1:19" ht="46" customHeight="1" x14ac:dyDescent="0.3">
      <c r="A8" s="10">
        <f t="shared" si="0"/>
        <v>3</v>
      </c>
      <c r="B8" s="11" t="s">
        <v>106</v>
      </c>
      <c r="C8" s="11"/>
      <c r="D8" s="12" t="s">
        <v>107</v>
      </c>
      <c r="E8" s="12" t="s">
        <v>108</v>
      </c>
      <c r="F8" s="11" t="s">
        <v>109</v>
      </c>
      <c r="G8" s="11" t="s">
        <v>110</v>
      </c>
      <c r="H8" s="13"/>
      <c r="I8" s="11"/>
      <c r="J8" s="13" t="s">
        <v>111</v>
      </c>
      <c r="K8" s="11" t="s">
        <v>112</v>
      </c>
      <c r="L8" s="11" t="s">
        <v>97</v>
      </c>
      <c r="M8" s="13" t="s">
        <v>113</v>
      </c>
      <c r="N8" s="11" t="s">
        <v>114</v>
      </c>
      <c r="O8" s="14">
        <v>46254</v>
      </c>
      <c r="P8" s="11" t="s">
        <v>115</v>
      </c>
      <c r="Q8" s="11" t="s">
        <v>100</v>
      </c>
      <c r="R8" s="14"/>
    </row>
    <row r="9" spans="1:19" ht="46" customHeight="1" x14ac:dyDescent="0.3">
      <c r="A9" s="10">
        <f t="shared" si="0"/>
        <v>4</v>
      </c>
      <c r="B9" s="11" t="s">
        <v>106</v>
      </c>
      <c r="C9" s="11"/>
      <c r="D9" s="12" t="s">
        <v>116</v>
      </c>
      <c r="E9" s="12" t="s">
        <v>117</v>
      </c>
      <c r="F9" s="11" t="s">
        <v>92</v>
      </c>
      <c r="G9" s="11" t="s">
        <v>93</v>
      </c>
      <c r="H9" s="13"/>
      <c r="I9" s="11" t="s">
        <v>118</v>
      </c>
      <c r="J9" s="13" t="s">
        <v>119</v>
      </c>
      <c r="K9" s="11" t="s">
        <v>96</v>
      </c>
      <c r="L9" s="11" t="s">
        <v>120</v>
      </c>
      <c r="M9" s="13" t="s">
        <v>121</v>
      </c>
      <c r="N9" s="11" t="s">
        <v>114</v>
      </c>
      <c r="O9" s="14">
        <v>46327</v>
      </c>
      <c r="P9" s="11" t="s">
        <v>99</v>
      </c>
      <c r="Q9" s="11" t="s">
        <v>100</v>
      </c>
      <c r="R9" s="14"/>
    </row>
    <row r="10" spans="1:19" ht="46" customHeight="1" x14ac:dyDescent="0.3">
      <c r="A10" s="10">
        <f t="shared" si="0"/>
        <v>5</v>
      </c>
      <c r="B10" s="11" t="s">
        <v>122</v>
      </c>
      <c r="C10" s="11"/>
      <c r="D10" s="12" t="s">
        <v>123</v>
      </c>
      <c r="E10" s="12" t="s">
        <v>124</v>
      </c>
      <c r="F10" s="11" t="s">
        <v>92</v>
      </c>
      <c r="G10" s="11" t="s">
        <v>110</v>
      </c>
      <c r="H10" s="13"/>
      <c r="I10" s="11"/>
      <c r="J10" s="13" t="s">
        <v>125</v>
      </c>
      <c r="K10" s="11" t="s">
        <v>96</v>
      </c>
      <c r="L10" s="11" t="s">
        <v>97</v>
      </c>
      <c r="M10" s="13" t="s">
        <v>126</v>
      </c>
      <c r="N10" s="11" t="s">
        <v>57</v>
      </c>
      <c r="O10" s="14">
        <v>46296</v>
      </c>
      <c r="P10" s="11" t="s">
        <v>127</v>
      </c>
      <c r="Q10" s="11" t="s">
        <v>100</v>
      </c>
      <c r="R10" s="14"/>
    </row>
    <row r="11" spans="1:19" ht="46" customHeight="1" x14ac:dyDescent="0.3">
      <c r="A11" s="10">
        <f t="shared" si="0"/>
        <v>6</v>
      </c>
      <c r="B11" s="11" t="s">
        <v>122</v>
      </c>
      <c r="C11" s="11"/>
      <c r="D11" s="12" t="s">
        <v>128</v>
      </c>
      <c r="E11" s="12" t="s">
        <v>129</v>
      </c>
      <c r="F11" s="11" t="s">
        <v>109</v>
      </c>
      <c r="G11" s="11" t="s">
        <v>110</v>
      </c>
      <c r="H11" s="13"/>
      <c r="I11" s="11"/>
      <c r="J11" s="13" t="s">
        <v>130</v>
      </c>
      <c r="K11" s="11" t="s">
        <v>112</v>
      </c>
      <c r="L11" s="11" t="s">
        <v>97</v>
      </c>
      <c r="M11" s="13" t="s">
        <v>131</v>
      </c>
      <c r="N11" s="11" t="s">
        <v>132</v>
      </c>
      <c r="O11" s="14">
        <v>46275</v>
      </c>
      <c r="P11" s="11" t="s">
        <v>127</v>
      </c>
      <c r="Q11" s="11" t="s">
        <v>100</v>
      </c>
      <c r="R11" s="14"/>
    </row>
    <row r="12" spans="1:19" ht="46" customHeight="1" x14ac:dyDescent="0.3">
      <c r="A12" s="10">
        <f t="shared" si="0"/>
        <v>7</v>
      </c>
      <c r="B12" s="11" t="s">
        <v>122</v>
      </c>
      <c r="C12" s="11"/>
      <c r="D12" s="12" t="s">
        <v>133</v>
      </c>
      <c r="E12" s="12" t="s">
        <v>134</v>
      </c>
      <c r="F12" s="11" t="s">
        <v>103</v>
      </c>
      <c r="G12" s="11" t="s">
        <v>104</v>
      </c>
      <c r="H12" s="13"/>
      <c r="I12" s="11" t="s">
        <v>135</v>
      </c>
      <c r="J12" s="13"/>
      <c r="K12" s="11"/>
      <c r="L12" s="11"/>
      <c r="M12" s="13"/>
      <c r="N12" s="11"/>
      <c r="O12" s="14"/>
      <c r="P12" s="11"/>
      <c r="Q12" s="11"/>
      <c r="R12" s="14"/>
    </row>
    <row r="13" spans="1:19" ht="46" customHeight="1" x14ac:dyDescent="0.3">
      <c r="A13" s="10">
        <f t="shared" si="0"/>
        <v>8</v>
      </c>
      <c r="B13" s="11" t="s">
        <v>136</v>
      </c>
      <c r="C13" s="11"/>
      <c r="D13" s="12" t="s">
        <v>137</v>
      </c>
      <c r="E13" s="12" t="s">
        <v>138</v>
      </c>
      <c r="F13" s="11" t="s">
        <v>92</v>
      </c>
      <c r="G13" s="11" t="s">
        <v>93</v>
      </c>
      <c r="H13" s="13"/>
      <c r="I13" s="11" t="s">
        <v>139</v>
      </c>
      <c r="J13" s="13" t="s">
        <v>140</v>
      </c>
      <c r="K13" s="11" t="s">
        <v>141</v>
      </c>
      <c r="L13" s="11" t="s">
        <v>120</v>
      </c>
      <c r="M13" s="13" t="s">
        <v>142</v>
      </c>
      <c r="N13" s="11" t="s">
        <v>143</v>
      </c>
      <c r="O13" s="14">
        <v>46357</v>
      </c>
      <c r="P13" s="11" t="s">
        <v>99</v>
      </c>
      <c r="Q13" s="11" t="s">
        <v>100</v>
      </c>
      <c r="R13" s="14"/>
    </row>
    <row r="14" spans="1:19" ht="46" customHeight="1" x14ac:dyDescent="0.3">
      <c r="A14" s="10">
        <f t="shared" si="0"/>
        <v>9</v>
      </c>
      <c r="B14" s="11" t="s">
        <v>136</v>
      </c>
      <c r="C14" s="11"/>
      <c r="D14" s="12" t="s">
        <v>144</v>
      </c>
      <c r="E14" s="12" t="s">
        <v>145</v>
      </c>
      <c r="F14" s="11" t="s">
        <v>109</v>
      </c>
      <c r="G14" s="11" t="s">
        <v>110</v>
      </c>
      <c r="H14" s="13"/>
      <c r="I14" s="11"/>
      <c r="J14" s="13" t="s">
        <v>146</v>
      </c>
      <c r="K14" s="11" t="s">
        <v>96</v>
      </c>
      <c r="L14" s="11" t="s">
        <v>97</v>
      </c>
      <c r="M14" s="13" t="s">
        <v>147</v>
      </c>
      <c r="N14" s="11" t="s">
        <v>143</v>
      </c>
      <c r="O14" s="14">
        <v>46315</v>
      </c>
      <c r="P14" s="11" t="s">
        <v>127</v>
      </c>
      <c r="Q14" s="11" t="s">
        <v>100</v>
      </c>
      <c r="R14" s="14"/>
    </row>
    <row r="15" spans="1:19" ht="46" customHeight="1" x14ac:dyDescent="0.3">
      <c r="A15" s="10">
        <f t="shared" si="0"/>
        <v>10</v>
      </c>
      <c r="B15" s="11" t="s">
        <v>136</v>
      </c>
      <c r="C15" s="11"/>
      <c r="D15" s="12" t="s">
        <v>148</v>
      </c>
      <c r="E15" s="12" t="s">
        <v>149</v>
      </c>
      <c r="F15" s="11" t="s">
        <v>92</v>
      </c>
      <c r="G15" s="11" t="s">
        <v>93</v>
      </c>
      <c r="H15" s="13"/>
      <c r="I15" s="11" t="s">
        <v>150</v>
      </c>
      <c r="J15" s="13" t="s">
        <v>151</v>
      </c>
      <c r="K15" s="11" t="s">
        <v>141</v>
      </c>
      <c r="L15" s="11" t="s">
        <v>152</v>
      </c>
      <c r="M15" s="13" t="s">
        <v>153</v>
      </c>
      <c r="N15" s="11" t="s">
        <v>57</v>
      </c>
      <c r="O15" s="14">
        <v>46402</v>
      </c>
      <c r="P15" s="11" t="s">
        <v>99</v>
      </c>
      <c r="Q15" s="11" t="s">
        <v>100</v>
      </c>
      <c r="R15" s="14"/>
    </row>
    <row r="16" spans="1:19" ht="46" customHeight="1" x14ac:dyDescent="0.3">
      <c r="A16" s="10">
        <f t="shared" si="0"/>
        <v>11</v>
      </c>
      <c r="B16" s="11" t="s">
        <v>154</v>
      </c>
      <c r="C16" s="11"/>
      <c r="D16" s="12" t="s">
        <v>155</v>
      </c>
      <c r="E16" s="12" t="s">
        <v>156</v>
      </c>
      <c r="F16" s="11" t="s">
        <v>103</v>
      </c>
      <c r="G16" s="11" t="s">
        <v>104</v>
      </c>
      <c r="H16" s="13"/>
      <c r="I16" s="11" t="s">
        <v>157</v>
      </c>
      <c r="J16" s="13"/>
      <c r="K16" s="11"/>
      <c r="L16" s="11"/>
      <c r="M16" s="13"/>
      <c r="N16" s="11"/>
      <c r="O16" s="14"/>
      <c r="P16" s="11"/>
      <c r="Q16" s="11"/>
      <c r="R16" s="14"/>
    </row>
    <row r="17" spans="1:18" ht="46" customHeight="1" x14ac:dyDescent="0.3">
      <c r="A17" s="10">
        <f t="shared" si="0"/>
        <v>12</v>
      </c>
      <c r="B17" s="11" t="s">
        <v>154</v>
      </c>
      <c r="C17" s="11"/>
      <c r="D17" s="12" t="s">
        <v>158</v>
      </c>
      <c r="E17" s="12" t="s">
        <v>159</v>
      </c>
      <c r="F17" s="11" t="s">
        <v>109</v>
      </c>
      <c r="G17" s="11" t="s">
        <v>110</v>
      </c>
      <c r="H17" s="13"/>
      <c r="I17" s="11"/>
      <c r="J17" s="13" t="s">
        <v>160</v>
      </c>
      <c r="K17" s="11" t="s">
        <v>96</v>
      </c>
      <c r="L17" s="11" t="s">
        <v>97</v>
      </c>
      <c r="M17" s="13" t="s">
        <v>161</v>
      </c>
      <c r="N17" s="11" t="s">
        <v>162</v>
      </c>
      <c r="O17" s="14">
        <v>46290</v>
      </c>
      <c r="P17" s="11" t="s">
        <v>127</v>
      </c>
      <c r="Q17" s="11" t="s">
        <v>100</v>
      </c>
      <c r="R17" s="14"/>
    </row>
    <row r="18" spans="1:18" ht="46" customHeight="1" x14ac:dyDescent="0.3">
      <c r="A18" s="10">
        <f t="shared" si="0"/>
        <v>13</v>
      </c>
      <c r="B18" s="11" t="s">
        <v>163</v>
      </c>
      <c r="C18" s="11"/>
      <c r="D18" s="12" t="s">
        <v>164</v>
      </c>
      <c r="E18" s="12" t="s">
        <v>165</v>
      </c>
      <c r="F18" s="11" t="s">
        <v>92</v>
      </c>
      <c r="G18" s="11" t="s">
        <v>93</v>
      </c>
      <c r="H18" s="13"/>
      <c r="I18" s="11" t="s">
        <v>166</v>
      </c>
      <c r="J18" s="13" t="s">
        <v>167</v>
      </c>
      <c r="K18" s="11" t="s">
        <v>96</v>
      </c>
      <c r="L18" s="11" t="s">
        <v>97</v>
      </c>
      <c r="M18" s="13" t="s">
        <v>168</v>
      </c>
      <c r="N18" s="11" t="s">
        <v>162</v>
      </c>
      <c r="O18" s="14">
        <v>46305</v>
      </c>
      <c r="P18" s="11" t="s">
        <v>99</v>
      </c>
      <c r="Q18" s="11" t="s">
        <v>100</v>
      </c>
      <c r="R18" s="14"/>
    </row>
    <row r="19" spans="1:18" ht="46" customHeight="1" x14ac:dyDescent="0.3">
      <c r="A19" s="10">
        <f t="shared" si="0"/>
        <v>14</v>
      </c>
      <c r="B19" s="11" t="s">
        <v>163</v>
      </c>
      <c r="C19" s="11"/>
      <c r="D19" s="12" t="s">
        <v>169</v>
      </c>
      <c r="E19" s="12" t="s">
        <v>170</v>
      </c>
      <c r="F19" s="11" t="s">
        <v>171</v>
      </c>
      <c r="G19" s="11" t="s">
        <v>171</v>
      </c>
      <c r="H19" s="13" t="s">
        <v>172</v>
      </c>
      <c r="I19" s="11"/>
      <c r="J19" s="13"/>
      <c r="K19" s="11" t="s">
        <v>171</v>
      </c>
      <c r="L19" s="11"/>
      <c r="M19" s="13"/>
      <c r="N19" s="11"/>
      <c r="O19" s="14"/>
      <c r="P19" s="11"/>
      <c r="Q19" s="11"/>
      <c r="R19" s="14"/>
    </row>
    <row r="20" spans="1:18" ht="46" customHeight="1" x14ac:dyDescent="0.3">
      <c r="A20" s="10">
        <f t="shared" si="0"/>
        <v>15</v>
      </c>
      <c r="B20" s="11" t="s">
        <v>173</v>
      </c>
      <c r="C20" s="11"/>
      <c r="D20" s="12" t="s">
        <v>174</v>
      </c>
      <c r="E20" s="12" t="s">
        <v>175</v>
      </c>
      <c r="F20" s="11" t="s">
        <v>103</v>
      </c>
      <c r="G20" s="11" t="s">
        <v>104</v>
      </c>
      <c r="H20" s="13"/>
      <c r="I20" s="11" t="s">
        <v>176</v>
      </c>
      <c r="J20" s="13"/>
      <c r="K20" s="11"/>
      <c r="L20" s="11"/>
      <c r="M20" s="13"/>
      <c r="N20" s="11"/>
      <c r="O20" s="14"/>
      <c r="P20" s="11"/>
      <c r="Q20" s="11"/>
      <c r="R20" s="14"/>
    </row>
    <row r="21" spans="1:18" ht="46" customHeight="1" x14ac:dyDescent="0.3">
      <c r="A21" s="10">
        <f t="shared" si="0"/>
        <v>16</v>
      </c>
      <c r="B21" s="11" t="s">
        <v>173</v>
      </c>
      <c r="C21" s="11"/>
      <c r="D21" s="12" t="s">
        <v>177</v>
      </c>
      <c r="E21" s="12" t="s">
        <v>178</v>
      </c>
      <c r="F21" s="11" t="s">
        <v>92</v>
      </c>
      <c r="G21" s="11" t="s">
        <v>93</v>
      </c>
      <c r="H21" s="13"/>
      <c r="I21" s="11" t="s">
        <v>179</v>
      </c>
      <c r="J21" s="13" t="s">
        <v>180</v>
      </c>
      <c r="K21" s="11" t="s">
        <v>141</v>
      </c>
      <c r="L21" s="11" t="s">
        <v>120</v>
      </c>
      <c r="M21" s="13" t="s">
        <v>181</v>
      </c>
      <c r="N21" s="11" t="s">
        <v>182</v>
      </c>
      <c r="O21" s="14">
        <v>46341</v>
      </c>
      <c r="P21" s="11" t="s">
        <v>99</v>
      </c>
      <c r="Q21" s="11" t="s">
        <v>100</v>
      </c>
      <c r="R21" s="14"/>
    </row>
    <row r="22" spans="1:18" ht="46" customHeight="1" x14ac:dyDescent="0.3">
      <c r="A22" s="10">
        <f t="shared" si="0"/>
        <v>17</v>
      </c>
      <c r="B22" s="11" t="s">
        <v>183</v>
      </c>
      <c r="C22" s="11"/>
      <c r="D22" s="12" t="s">
        <v>184</v>
      </c>
      <c r="E22" s="12" t="s">
        <v>185</v>
      </c>
      <c r="F22" s="11" t="s">
        <v>92</v>
      </c>
      <c r="G22" s="11" t="s">
        <v>93</v>
      </c>
      <c r="H22" s="13"/>
      <c r="I22" s="11" t="s">
        <v>186</v>
      </c>
      <c r="J22" s="13" t="s">
        <v>187</v>
      </c>
      <c r="K22" s="11" t="s">
        <v>141</v>
      </c>
      <c r="L22" s="11" t="s">
        <v>120</v>
      </c>
      <c r="M22" s="13" t="s">
        <v>188</v>
      </c>
      <c r="N22" s="11" t="s">
        <v>57</v>
      </c>
      <c r="O22" s="14">
        <v>46325</v>
      </c>
      <c r="P22" s="11" t="s">
        <v>127</v>
      </c>
      <c r="Q22" s="11" t="s">
        <v>100</v>
      </c>
      <c r="R22" s="14"/>
    </row>
    <row r="23" spans="1:18" ht="46" customHeight="1" x14ac:dyDescent="0.3">
      <c r="A23" s="10">
        <f t="shared" si="0"/>
        <v>18</v>
      </c>
      <c r="B23" s="11" t="s">
        <v>183</v>
      </c>
      <c r="C23" s="11"/>
      <c r="D23" s="12" t="s">
        <v>189</v>
      </c>
      <c r="E23" s="12" t="s">
        <v>190</v>
      </c>
      <c r="F23" s="11" t="s">
        <v>109</v>
      </c>
      <c r="G23" s="11" t="s">
        <v>110</v>
      </c>
      <c r="H23" s="13"/>
      <c r="I23" s="11"/>
      <c r="J23" s="13" t="s">
        <v>191</v>
      </c>
      <c r="K23" s="11" t="s">
        <v>141</v>
      </c>
      <c r="L23" s="11" t="s">
        <v>152</v>
      </c>
      <c r="M23" s="13" t="s">
        <v>192</v>
      </c>
      <c r="N23" s="11" t="s">
        <v>57</v>
      </c>
      <c r="O23" s="14">
        <v>46419</v>
      </c>
      <c r="P23" s="11" t="s">
        <v>127</v>
      </c>
      <c r="Q23" s="11" t="s">
        <v>100</v>
      </c>
      <c r="R23" s="14"/>
    </row>
    <row r="24" spans="1:18" ht="46" customHeight="1" x14ac:dyDescent="0.3">
      <c r="A24" s="10">
        <f t="shared" si="0"/>
        <v>19</v>
      </c>
      <c r="B24" s="11" t="s">
        <v>193</v>
      </c>
      <c r="C24" s="11"/>
      <c r="D24" s="12" t="s">
        <v>194</v>
      </c>
      <c r="E24" s="12" t="s">
        <v>195</v>
      </c>
      <c r="F24" s="11" t="s">
        <v>92</v>
      </c>
      <c r="G24" s="11" t="s">
        <v>93</v>
      </c>
      <c r="H24" s="13"/>
      <c r="I24" s="11" t="s">
        <v>196</v>
      </c>
      <c r="J24" s="13" t="s">
        <v>197</v>
      </c>
      <c r="K24" s="11" t="s">
        <v>198</v>
      </c>
      <c r="L24" s="11" t="s">
        <v>152</v>
      </c>
      <c r="M24" s="13" t="s">
        <v>199</v>
      </c>
      <c r="N24" s="11" t="s">
        <v>57</v>
      </c>
      <c r="O24" s="14">
        <v>46371</v>
      </c>
      <c r="P24" s="11" t="s">
        <v>99</v>
      </c>
      <c r="Q24" s="11" t="s">
        <v>100</v>
      </c>
      <c r="R24" s="14"/>
    </row>
    <row r="25" spans="1:18" ht="46" customHeight="1" x14ac:dyDescent="0.3">
      <c r="A25" s="10">
        <f t="shared" si="0"/>
        <v>20</v>
      </c>
      <c r="B25" s="11" t="s">
        <v>193</v>
      </c>
      <c r="C25" s="11"/>
      <c r="D25" s="12" t="s">
        <v>200</v>
      </c>
      <c r="E25" s="12" t="s">
        <v>201</v>
      </c>
      <c r="F25" s="11" t="s">
        <v>103</v>
      </c>
      <c r="G25" s="11" t="s">
        <v>104</v>
      </c>
      <c r="H25" s="13"/>
      <c r="I25" s="11" t="s">
        <v>202</v>
      </c>
      <c r="J25" s="13"/>
      <c r="K25" s="11"/>
      <c r="L25" s="11"/>
      <c r="M25" s="13"/>
      <c r="N25" s="11"/>
      <c r="O25" s="14"/>
      <c r="P25" s="11"/>
      <c r="Q25" s="11"/>
      <c r="R25" s="14"/>
    </row>
    <row r="26" spans="1:18" ht="46" customHeight="1" x14ac:dyDescent="0.3">
      <c r="A26" s="10">
        <f t="shared" si="0"/>
        <v>21</v>
      </c>
      <c r="B26" s="11" t="s">
        <v>193</v>
      </c>
      <c r="C26" s="11"/>
      <c r="D26" s="12" t="s">
        <v>203</v>
      </c>
      <c r="E26" s="12" t="s">
        <v>204</v>
      </c>
      <c r="F26" s="11" t="s">
        <v>92</v>
      </c>
      <c r="G26" s="11" t="s">
        <v>104</v>
      </c>
      <c r="H26" s="13"/>
      <c r="I26" s="11" t="s">
        <v>205</v>
      </c>
      <c r="J26" s="13" t="s">
        <v>206</v>
      </c>
      <c r="K26" s="11" t="s">
        <v>141</v>
      </c>
      <c r="L26" s="11" t="s">
        <v>120</v>
      </c>
      <c r="M26" s="13" t="s">
        <v>207</v>
      </c>
      <c r="N26" s="11" t="s">
        <v>57</v>
      </c>
      <c r="O26" s="14">
        <v>46249</v>
      </c>
      <c r="P26" s="11" t="s">
        <v>208</v>
      </c>
      <c r="Q26" s="11" t="s">
        <v>209</v>
      </c>
      <c r="R26" s="14">
        <v>46254</v>
      </c>
    </row>
    <row r="27" spans="1:18" ht="46" customHeight="1" x14ac:dyDescent="0.3">
      <c r="A27" s="10">
        <f t="shared" si="0"/>
        <v>22</v>
      </c>
      <c r="B27" s="11" t="s">
        <v>210</v>
      </c>
      <c r="C27" s="11"/>
      <c r="D27" s="12" t="s">
        <v>211</v>
      </c>
      <c r="E27" s="12" t="s">
        <v>212</v>
      </c>
      <c r="F27" s="11" t="s">
        <v>92</v>
      </c>
      <c r="G27" s="11" t="s">
        <v>93</v>
      </c>
      <c r="H27" s="13"/>
      <c r="I27" s="11" t="s">
        <v>213</v>
      </c>
      <c r="J27" s="13" t="s">
        <v>214</v>
      </c>
      <c r="K27" s="11" t="s">
        <v>96</v>
      </c>
      <c r="L27" s="11" t="s">
        <v>97</v>
      </c>
      <c r="M27" s="13" t="s">
        <v>215</v>
      </c>
      <c r="N27" s="11" t="s">
        <v>57</v>
      </c>
      <c r="O27" s="14">
        <v>46295</v>
      </c>
      <c r="P27" s="11" t="s">
        <v>99</v>
      </c>
      <c r="Q27" s="11" t="s">
        <v>100</v>
      </c>
      <c r="R27" s="14"/>
    </row>
    <row r="28" spans="1:18" ht="46" customHeight="1" x14ac:dyDescent="0.3">
      <c r="A28" s="10">
        <f t="shared" si="0"/>
        <v>23</v>
      </c>
      <c r="B28" s="11" t="s">
        <v>210</v>
      </c>
      <c r="C28" s="11"/>
      <c r="D28" s="12" t="s">
        <v>216</v>
      </c>
      <c r="E28" s="12" t="s">
        <v>217</v>
      </c>
      <c r="F28" s="11" t="s">
        <v>92</v>
      </c>
      <c r="G28" s="11" t="s">
        <v>104</v>
      </c>
      <c r="H28" s="13"/>
      <c r="I28" s="11" t="s">
        <v>218</v>
      </c>
      <c r="J28" s="13" t="s">
        <v>219</v>
      </c>
      <c r="K28" s="11" t="s">
        <v>96</v>
      </c>
      <c r="L28" s="11" t="s">
        <v>97</v>
      </c>
      <c r="M28" s="13" t="s">
        <v>220</v>
      </c>
      <c r="N28" s="11" t="s">
        <v>57</v>
      </c>
      <c r="O28" s="14">
        <v>46235</v>
      </c>
      <c r="P28" s="11" t="s">
        <v>221</v>
      </c>
      <c r="Q28" s="11" t="s">
        <v>222</v>
      </c>
      <c r="R28" s="14">
        <v>46244</v>
      </c>
    </row>
    <row r="29" spans="1:18" ht="46" customHeight="1" x14ac:dyDescent="0.3">
      <c r="A29" s="10">
        <f t="shared" si="0"/>
        <v>24</v>
      </c>
      <c r="B29" s="11" t="s">
        <v>89</v>
      </c>
      <c r="C29" s="11"/>
      <c r="D29" s="12" t="s">
        <v>223</v>
      </c>
      <c r="E29" s="12" t="s">
        <v>224</v>
      </c>
      <c r="F29" s="11" t="s">
        <v>109</v>
      </c>
      <c r="G29" s="11" t="s">
        <v>110</v>
      </c>
      <c r="H29" s="13"/>
      <c r="I29" s="11"/>
      <c r="J29" s="13" t="s">
        <v>225</v>
      </c>
      <c r="K29" s="11" t="s">
        <v>141</v>
      </c>
      <c r="L29" s="11" t="s">
        <v>120</v>
      </c>
      <c r="M29" s="13" t="s">
        <v>226</v>
      </c>
      <c r="N29" s="11" t="s">
        <v>57</v>
      </c>
      <c r="O29" s="14">
        <v>46376</v>
      </c>
      <c r="P29" s="11" t="s">
        <v>127</v>
      </c>
      <c r="Q29" s="11" t="s">
        <v>100</v>
      </c>
      <c r="R29" s="14"/>
    </row>
    <row r="30" spans="1:18" ht="46" customHeight="1" x14ac:dyDescent="0.3">
      <c r="A30" s="10">
        <f t="shared" si="0"/>
        <v>25</v>
      </c>
      <c r="B30" s="11" t="s">
        <v>106</v>
      </c>
      <c r="C30" s="11"/>
      <c r="D30" s="12" t="s">
        <v>227</v>
      </c>
      <c r="E30" s="12" t="s">
        <v>228</v>
      </c>
      <c r="F30" s="11" t="s">
        <v>92</v>
      </c>
      <c r="G30" s="11" t="s">
        <v>93</v>
      </c>
      <c r="H30" s="13"/>
      <c r="I30" s="11" t="s">
        <v>229</v>
      </c>
      <c r="J30" s="13" t="s">
        <v>230</v>
      </c>
      <c r="K30" s="11" t="s">
        <v>96</v>
      </c>
      <c r="L30" s="11" t="s">
        <v>120</v>
      </c>
      <c r="M30" s="13" t="s">
        <v>231</v>
      </c>
      <c r="N30" s="11" t="s">
        <v>114</v>
      </c>
      <c r="O30" s="14">
        <v>46259</v>
      </c>
      <c r="P30" s="11" t="s">
        <v>115</v>
      </c>
      <c r="Q30" s="11" t="s">
        <v>100</v>
      </c>
      <c r="R30" s="14"/>
    </row>
    <row r="31" spans="1:18" ht="46" customHeight="1" x14ac:dyDescent="0.3">
      <c r="A31" s="10">
        <f t="shared" si="0"/>
        <v>26</v>
      </c>
      <c r="B31" s="11" t="s">
        <v>122</v>
      </c>
      <c r="C31" s="11"/>
      <c r="D31" s="12" t="s">
        <v>232</v>
      </c>
      <c r="E31" s="12" t="s">
        <v>233</v>
      </c>
      <c r="F31" s="11" t="s">
        <v>109</v>
      </c>
      <c r="G31" s="11" t="s">
        <v>110</v>
      </c>
      <c r="H31" s="13"/>
      <c r="I31" s="11"/>
      <c r="J31" s="13" t="s">
        <v>234</v>
      </c>
      <c r="K31" s="11" t="s">
        <v>141</v>
      </c>
      <c r="L31" s="11" t="s">
        <v>152</v>
      </c>
      <c r="M31" s="13" t="s">
        <v>235</v>
      </c>
      <c r="N31" s="11" t="s">
        <v>57</v>
      </c>
      <c r="O31" s="14">
        <v>46418</v>
      </c>
      <c r="P31" s="11" t="s">
        <v>127</v>
      </c>
      <c r="Q31" s="11" t="s">
        <v>100</v>
      </c>
      <c r="R31" s="14"/>
    </row>
    <row r="32" spans="1:18" ht="46" customHeight="1" x14ac:dyDescent="0.3">
      <c r="A32" s="10">
        <f t="shared" si="0"/>
        <v>27</v>
      </c>
      <c r="B32" s="11" t="s">
        <v>136</v>
      </c>
      <c r="C32" s="11"/>
      <c r="D32" s="12" t="s">
        <v>236</v>
      </c>
      <c r="E32" s="12" t="s">
        <v>237</v>
      </c>
      <c r="F32" s="11" t="s">
        <v>109</v>
      </c>
      <c r="G32" s="11" t="s">
        <v>110</v>
      </c>
      <c r="H32" s="13"/>
      <c r="I32" s="11"/>
      <c r="J32" s="13" t="s">
        <v>238</v>
      </c>
      <c r="K32" s="11" t="s">
        <v>96</v>
      </c>
      <c r="L32" s="11" t="s">
        <v>97</v>
      </c>
      <c r="M32" s="13" t="s">
        <v>239</v>
      </c>
      <c r="N32" s="11" t="s">
        <v>143</v>
      </c>
      <c r="O32" s="14">
        <v>46252</v>
      </c>
      <c r="P32" s="11" t="s">
        <v>115</v>
      </c>
      <c r="Q32" s="11" t="s">
        <v>100</v>
      </c>
      <c r="R32" s="14"/>
    </row>
    <row r="33" spans="1:18" ht="46" customHeight="1" x14ac:dyDescent="0.3">
      <c r="A33" s="10">
        <f t="shared" si="0"/>
        <v>28</v>
      </c>
      <c r="B33" s="11" t="s">
        <v>154</v>
      </c>
      <c r="C33" s="11"/>
      <c r="D33" s="12" t="s">
        <v>240</v>
      </c>
      <c r="E33" s="12" t="s">
        <v>241</v>
      </c>
      <c r="F33" s="11" t="s">
        <v>92</v>
      </c>
      <c r="G33" s="11" t="s">
        <v>93</v>
      </c>
      <c r="H33" s="13"/>
      <c r="I33" s="11" t="s">
        <v>242</v>
      </c>
      <c r="J33" s="13" t="s">
        <v>243</v>
      </c>
      <c r="K33" s="11" t="s">
        <v>96</v>
      </c>
      <c r="L33" s="11" t="s">
        <v>120</v>
      </c>
      <c r="M33" s="13" t="s">
        <v>244</v>
      </c>
      <c r="N33" s="11" t="s">
        <v>57</v>
      </c>
      <c r="O33" s="14">
        <v>46331</v>
      </c>
      <c r="P33" s="11" t="s">
        <v>99</v>
      </c>
      <c r="Q33" s="11" t="s">
        <v>100</v>
      </c>
      <c r="R33" s="14"/>
    </row>
    <row r="34" spans="1:18" ht="46" customHeight="1" x14ac:dyDescent="0.3">
      <c r="A34" s="10">
        <f t="shared" si="0"/>
        <v>29</v>
      </c>
      <c r="B34" s="11" t="s">
        <v>154</v>
      </c>
      <c r="C34" s="11"/>
      <c r="D34" s="12" t="s">
        <v>245</v>
      </c>
      <c r="E34" s="12" t="s">
        <v>246</v>
      </c>
      <c r="F34" s="11" t="s">
        <v>103</v>
      </c>
      <c r="G34" s="11" t="s">
        <v>104</v>
      </c>
      <c r="H34" s="13"/>
      <c r="I34" s="11" t="s">
        <v>247</v>
      </c>
      <c r="J34" s="13"/>
      <c r="K34" s="11"/>
      <c r="L34" s="11"/>
      <c r="M34" s="13"/>
      <c r="N34" s="11"/>
      <c r="O34" s="14"/>
      <c r="P34" s="11"/>
      <c r="Q34" s="11"/>
      <c r="R34" s="14"/>
    </row>
    <row r="35" spans="1:18" ht="46" customHeight="1" x14ac:dyDescent="0.3">
      <c r="A35" s="10">
        <f t="shared" si="0"/>
        <v>30</v>
      </c>
      <c r="B35" s="11" t="s">
        <v>163</v>
      </c>
      <c r="C35" s="11"/>
      <c r="D35" s="12" t="s">
        <v>248</v>
      </c>
      <c r="E35" s="12" t="s">
        <v>249</v>
      </c>
      <c r="F35" s="11" t="s">
        <v>92</v>
      </c>
      <c r="G35" s="11" t="s">
        <v>93</v>
      </c>
      <c r="H35" s="13"/>
      <c r="I35" s="11" t="s">
        <v>250</v>
      </c>
      <c r="J35" s="13" t="s">
        <v>251</v>
      </c>
      <c r="K35" s="11" t="s">
        <v>96</v>
      </c>
      <c r="L35" s="11" t="s">
        <v>97</v>
      </c>
      <c r="M35" s="13" t="s">
        <v>252</v>
      </c>
      <c r="N35" s="11" t="s">
        <v>162</v>
      </c>
      <c r="O35" s="14">
        <v>46320</v>
      </c>
      <c r="P35" s="11" t="s">
        <v>99</v>
      </c>
      <c r="Q35" s="11" t="s">
        <v>100</v>
      </c>
      <c r="R35" s="14"/>
    </row>
    <row r="36" spans="1:18" ht="46" customHeight="1" x14ac:dyDescent="0.3">
      <c r="A36" s="10">
        <f t="shared" si="0"/>
        <v>31</v>
      </c>
      <c r="B36" s="11" t="s">
        <v>163</v>
      </c>
      <c r="C36" s="11"/>
      <c r="D36" s="12" t="s">
        <v>253</v>
      </c>
      <c r="E36" s="12" t="s">
        <v>254</v>
      </c>
      <c r="F36" s="11" t="s">
        <v>103</v>
      </c>
      <c r="G36" s="11" t="s">
        <v>104</v>
      </c>
      <c r="H36" s="13"/>
      <c r="I36" s="11" t="s">
        <v>255</v>
      </c>
      <c r="J36" s="13"/>
      <c r="K36" s="11"/>
      <c r="L36" s="11"/>
      <c r="M36" s="13"/>
      <c r="N36" s="11"/>
      <c r="O36" s="14"/>
      <c r="P36" s="11"/>
      <c r="Q36" s="11"/>
      <c r="R36" s="14"/>
    </row>
    <row r="37" spans="1:18" ht="46" customHeight="1" x14ac:dyDescent="0.3">
      <c r="A37" s="10">
        <f t="shared" si="0"/>
        <v>32</v>
      </c>
      <c r="B37" s="11" t="s">
        <v>173</v>
      </c>
      <c r="C37" s="11"/>
      <c r="D37" s="12" t="s">
        <v>256</v>
      </c>
      <c r="E37" s="12" t="s">
        <v>257</v>
      </c>
      <c r="F37" s="11" t="s">
        <v>109</v>
      </c>
      <c r="G37" s="11" t="s">
        <v>110</v>
      </c>
      <c r="H37" s="13"/>
      <c r="I37" s="11"/>
      <c r="J37" s="13" t="s">
        <v>258</v>
      </c>
      <c r="K37" s="11" t="s">
        <v>141</v>
      </c>
      <c r="L37" s="11" t="s">
        <v>120</v>
      </c>
      <c r="M37" s="13" t="s">
        <v>259</v>
      </c>
      <c r="N37" s="11" t="s">
        <v>57</v>
      </c>
      <c r="O37" s="14">
        <v>46357</v>
      </c>
      <c r="P37" s="11" t="s">
        <v>127</v>
      </c>
      <c r="Q37" s="11" t="s">
        <v>100</v>
      </c>
      <c r="R37" s="14"/>
    </row>
    <row r="38" spans="1:18" ht="46" customHeight="1" x14ac:dyDescent="0.3">
      <c r="A38" s="10">
        <f t="shared" si="0"/>
        <v>33</v>
      </c>
      <c r="B38" s="11" t="s">
        <v>183</v>
      </c>
      <c r="C38" s="11"/>
      <c r="D38" s="12" t="s">
        <v>260</v>
      </c>
      <c r="E38" s="12" t="s">
        <v>261</v>
      </c>
      <c r="F38" s="11" t="s">
        <v>92</v>
      </c>
      <c r="G38" s="11" t="s">
        <v>93</v>
      </c>
      <c r="H38" s="13"/>
      <c r="I38" s="11" t="s">
        <v>262</v>
      </c>
      <c r="J38" s="13" t="s">
        <v>263</v>
      </c>
      <c r="K38" s="11" t="s">
        <v>141</v>
      </c>
      <c r="L38" s="11" t="s">
        <v>152</v>
      </c>
      <c r="M38" s="13" t="s">
        <v>264</v>
      </c>
      <c r="N38" s="11" t="s">
        <v>57</v>
      </c>
      <c r="O38" s="14">
        <v>46402</v>
      </c>
      <c r="P38" s="11" t="s">
        <v>127</v>
      </c>
      <c r="Q38" s="11" t="s">
        <v>100</v>
      </c>
      <c r="R38" s="14"/>
    </row>
    <row r="39" spans="1:18" ht="46" customHeight="1" x14ac:dyDescent="0.3">
      <c r="A39" s="10">
        <f t="shared" si="0"/>
        <v>34</v>
      </c>
      <c r="B39" s="11" t="s">
        <v>193</v>
      </c>
      <c r="C39" s="11"/>
      <c r="D39" s="12" t="s">
        <v>265</v>
      </c>
      <c r="E39" s="12" t="s">
        <v>266</v>
      </c>
      <c r="F39" s="11" t="s">
        <v>92</v>
      </c>
      <c r="G39" s="11" t="s">
        <v>104</v>
      </c>
      <c r="H39" s="13"/>
      <c r="I39" s="11" t="s">
        <v>267</v>
      </c>
      <c r="J39" s="13" t="s">
        <v>268</v>
      </c>
      <c r="K39" s="11" t="s">
        <v>198</v>
      </c>
      <c r="L39" s="11" t="s">
        <v>152</v>
      </c>
      <c r="M39" s="13" t="s">
        <v>269</v>
      </c>
      <c r="N39" s="11" t="s">
        <v>57</v>
      </c>
      <c r="O39" s="14">
        <v>46246</v>
      </c>
      <c r="P39" s="11" t="s">
        <v>208</v>
      </c>
      <c r="Q39" s="11" t="s">
        <v>222</v>
      </c>
      <c r="R39" s="14">
        <v>46256</v>
      </c>
    </row>
    <row r="40" spans="1:18" ht="46" customHeight="1" x14ac:dyDescent="0.3">
      <c r="A40" s="10">
        <f t="shared" si="0"/>
        <v>35</v>
      </c>
      <c r="B40" s="11" t="s">
        <v>210</v>
      </c>
      <c r="C40" s="11"/>
      <c r="D40" s="12" t="s">
        <v>270</v>
      </c>
      <c r="E40" s="12" t="s">
        <v>271</v>
      </c>
      <c r="F40" s="11" t="s">
        <v>109</v>
      </c>
      <c r="G40" s="11" t="s">
        <v>110</v>
      </c>
      <c r="H40" s="13"/>
      <c r="I40" s="11"/>
      <c r="J40" s="13" t="s">
        <v>272</v>
      </c>
      <c r="K40" s="11" t="s">
        <v>96</v>
      </c>
      <c r="L40" s="11" t="s">
        <v>97</v>
      </c>
      <c r="M40" s="13" t="s">
        <v>273</v>
      </c>
      <c r="N40" s="11" t="s">
        <v>57</v>
      </c>
      <c r="O40" s="14">
        <v>46262</v>
      </c>
      <c r="P40" s="11" t="s">
        <v>115</v>
      </c>
      <c r="Q40" s="11" t="s">
        <v>100</v>
      </c>
      <c r="R40" s="14"/>
    </row>
    <row r="42" spans="1:18" ht="26" customHeight="1" x14ac:dyDescent="0.3">
      <c r="A42" s="53" t="s">
        <v>274</v>
      </c>
      <c r="B42" s="39"/>
      <c r="C42" s="39"/>
      <c r="D42" s="39"/>
      <c r="E42" s="39"/>
      <c r="F42" s="39"/>
      <c r="G42" s="39"/>
      <c r="H42" s="39"/>
      <c r="I42" s="39"/>
      <c r="J42" s="39"/>
      <c r="K42" s="39"/>
      <c r="L42" s="39"/>
      <c r="M42" s="39"/>
      <c r="N42" s="39"/>
      <c r="O42" s="39"/>
      <c r="P42" s="39"/>
      <c r="Q42" s="39"/>
      <c r="R42" s="39"/>
    </row>
    <row r="45" spans="1:18" ht="16" customHeight="1" x14ac:dyDescent="0.3">
      <c r="A45" s="45" t="s">
        <v>20</v>
      </c>
      <c r="B45" s="39"/>
      <c r="C45" s="39"/>
      <c r="D45" s="39"/>
      <c r="E45" s="39"/>
      <c r="F45" s="39"/>
      <c r="G45" s="39"/>
      <c r="H45" s="39"/>
      <c r="I45" s="39"/>
      <c r="J45" s="39"/>
      <c r="K45" s="39"/>
      <c r="L45" s="39"/>
      <c r="M45" s="39"/>
      <c r="N45" s="39"/>
      <c r="O45" s="39"/>
      <c r="P45" s="39"/>
      <c r="Q45" s="39"/>
      <c r="R45" s="39"/>
    </row>
  </sheetData>
  <sheetProtection formatCells="0" formatColumns="0" formatRows="0"/>
  <mergeCells count="6">
    <mergeCell ref="A1:R1"/>
    <mergeCell ref="A45:R45"/>
    <mergeCell ref="E3:R3"/>
    <mergeCell ref="A2:R2"/>
    <mergeCell ref="A3:D3"/>
    <mergeCell ref="A42:R42"/>
  </mergeCells>
  <conditionalFormatting sqref="F6:F40">
    <cfRule type="cellIs" dxfId="35" priority="1" operator="equal">
      <formula>"مطبق بالكامل"</formula>
    </cfRule>
    <cfRule type="cellIs" dxfId="34" priority="2" operator="equal">
      <formula>"مطبق جزئيًا"</formula>
    </cfRule>
    <cfRule type="cellIs" dxfId="33" priority="3" operator="equal">
      <formula>"غير مطبق"</formula>
    </cfRule>
    <cfRule type="cellIs" dxfId="32" priority="4" operator="equal">
      <formula>"لا ينطبق"</formula>
    </cfRule>
  </conditionalFormatting>
  <conditionalFormatting sqref="G6:G40">
    <cfRule type="cellIs" dxfId="31" priority="5" operator="equal">
      <formula>"متوفر"</formula>
    </cfRule>
    <cfRule type="cellIs" dxfId="30" priority="6" operator="equal">
      <formula>"متوفر جزئيًا"</formula>
    </cfRule>
    <cfRule type="cellIs" dxfId="29" priority="7" operator="equal">
      <formula>"غير متوفر"</formula>
    </cfRule>
    <cfRule type="cellIs" dxfId="28" priority="8" operator="equal">
      <formula>"لا ينطبق"</formula>
    </cfRule>
  </conditionalFormatting>
  <conditionalFormatting sqref="K6:K40">
    <cfRule type="cellIs" dxfId="27" priority="9" operator="equal">
      <formula>"حرج"</formula>
    </cfRule>
    <cfRule type="cellIs" dxfId="26" priority="10" operator="equal">
      <formula>"رئيسي"</formula>
    </cfRule>
    <cfRule type="cellIs" dxfId="25" priority="11" operator="equal">
      <formula>"ثانوي"</formula>
    </cfRule>
    <cfRule type="cellIs" dxfId="24" priority="12" operator="equal">
      <formula>"ملاحظة"</formula>
    </cfRule>
    <cfRule type="cellIs" dxfId="23" priority="13" operator="equal">
      <formula>"لا ينطبق"</formula>
    </cfRule>
  </conditionalFormatting>
  <conditionalFormatting sqref="O6:O40">
    <cfRule type="expression" dxfId="22" priority="19">
      <formula>AND(O6&lt;&gt;"",O6&lt;TODAY(),P6&lt;&gt;"مكتمل",P6&lt;&gt;"تم التحقق من الإغلاق")</formula>
    </cfRule>
  </conditionalFormatting>
  <conditionalFormatting sqref="P6:P40">
    <cfRule type="cellIs" dxfId="21" priority="14" operator="equal">
      <formula>"لم يبدأ"</formula>
    </cfRule>
    <cfRule type="cellIs" dxfId="20" priority="15" operator="equal">
      <formula>"قيد التنفيذ"</formula>
    </cfRule>
    <cfRule type="cellIs" dxfId="19" priority="16" operator="equal">
      <formula>"مكتمل"</formula>
    </cfRule>
    <cfRule type="cellIs" dxfId="18" priority="17" operator="equal">
      <formula>"متأخر"</formula>
    </cfRule>
    <cfRule type="cellIs" dxfId="17" priority="18" operator="equal">
      <formula>"تم التحقق من الإغلاق"</formula>
    </cfRule>
  </conditionalFormatting>
  <dataValidations count="8">
    <dataValidation type="list" allowBlank="1" showErrorMessage="1" errorTitle="قيمة غير صحيحة" error="الرجاء اختيار قيمة من القائمة" sqref="B6:B40" xr:uid="{00000000-0002-0000-0300-000000000000}">
      <formula1>List_Category</formula1>
    </dataValidation>
    <dataValidation type="list" allowBlank="1" showErrorMessage="1" errorTitle="قيمة غير صحيحة" error="الرجاء اختيار قيمة من القائمة" sqref="F6:F40" xr:uid="{00000000-0002-0000-0300-000001000000}">
      <formula1>List_Status</formula1>
    </dataValidation>
    <dataValidation type="list" allowBlank="1" showErrorMessage="1" errorTitle="قيمة غير صحيحة" error="الرجاء اختيار قيمة من القائمة" sqref="G6:G40" xr:uid="{00000000-0002-0000-0300-000002000000}">
      <formula1>List_Evidence</formula1>
    </dataValidation>
    <dataValidation type="list" allowBlank="1" showErrorMessage="1" errorTitle="قيمة غير صحيحة" error="الرجاء اختيار قيمة من القائمة" sqref="K6:K40" xr:uid="{00000000-0002-0000-0300-000003000000}">
      <formula1>List_Severity</formula1>
    </dataValidation>
    <dataValidation type="list" allowBlank="1" showErrorMessage="1" errorTitle="قيمة غير صحيحة" error="الرجاء اختيار قيمة من القائمة" sqref="L6:L40" xr:uid="{00000000-0002-0000-0300-000004000000}">
      <formula1>List_Priority</formula1>
    </dataValidation>
    <dataValidation type="list" allowBlank="1" showErrorMessage="1" errorTitle="قيمة غير صحيحة" error="الرجاء اختيار قيمة من القائمة" sqref="P6:P40" xr:uid="{00000000-0002-0000-0300-000005000000}">
      <formula1>List_ActionStatus</formula1>
    </dataValidation>
    <dataValidation type="list" allowBlank="1" showErrorMessage="1" errorTitle="قيمة غير صحيحة" error="الرجاء اختيار قيمة من القائمة" sqref="Q6:Q40" xr:uid="{00000000-0002-0000-0300-000006000000}">
      <formula1>List_YesNo</formula1>
    </dataValidation>
    <dataValidation type="custom" allowBlank="1" showErrorMessage="1" errorTitle="مطلوب مبرر" error="عند اختيار &quot;لا ينطبق&quot; في الحالة الحالية أو توفر الدليل، يجب تعبئة عمود «مبرر عدم الانطباق»." sqref="H6:H40" xr:uid="{00000000-0002-0000-0300-000007000000}">
      <formula1>OR(AND(F6&lt;&gt;"لا ينطبق",G6&lt;&gt;"لا ينطبق"),H6&lt;&gt;"")</formula1>
    </dataValidation>
  </dataValidations>
  <hyperlinks>
    <hyperlink ref="A45" r:id="rId1" xr:uid="{00000000-0004-0000-0300-000000000000}"/>
  </hyperlinks>
  <pageMargins left="0.35" right="0.35" top="0.5" bottom="0.5" header="0.2" footer="0.2"/>
  <pageSetup fitToHeight="0" orientation="landscape"/>
  <headerFooter>
    <oddFooter>&amp;C&amp;8 &amp;K808080امتثال Imtithal.store — أداة تحليل فجوات ISO/IEC 17020:2026 (بيانات تجريبية DEMO حيث وردت) — صفحة &amp;P من &amp;N</oddFoot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E7C55"/>
    <pageSetUpPr fitToPage="1"/>
  </sheetPr>
  <dimension ref="A1:J37"/>
  <sheetViews>
    <sheetView rightToLeft="1" workbookViewId="0">
      <pane ySplit="4" topLeftCell="A5" activePane="bottomLeft" state="frozen"/>
      <selection pane="bottomLeft" sqref="A1:I1"/>
    </sheetView>
  </sheetViews>
  <sheetFormatPr defaultRowHeight="14" x14ac:dyDescent="0.3"/>
  <cols>
    <col min="1" max="1" width="10" customWidth="1"/>
    <col min="2" max="2" width="11" customWidth="1"/>
    <col min="3" max="3" width="34" customWidth="1"/>
    <col min="4" max="4" width="16" customWidth="1"/>
    <col min="5" max="5" width="10" customWidth="1"/>
    <col min="6" max="6" width="14" customWidth="1"/>
    <col min="7" max="7" width="26" customWidth="1"/>
    <col min="8" max="8" width="13" customWidth="1"/>
    <col min="9" max="9" width="30" customWidth="1"/>
    <col min="10" max="10" width="15" customWidth="1"/>
  </cols>
  <sheetData>
    <row r="1" spans="1:10" ht="30" customHeight="1" x14ac:dyDescent="0.3">
      <c r="A1" s="47" t="s">
        <v>275</v>
      </c>
      <c r="B1" s="35"/>
      <c r="C1" s="35"/>
      <c r="D1" s="35"/>
      <c r="E1" s="35"/>
      <c r="F1" s="35"/>
      <c r="G1" s="35"/>
      <c r="H1" s="35"/>
      <c r="I1" s="35"/>
      <c r="J1" s="1"/>
    </row>
    <row r="2" spans="1:10" ht="18" customHeight="1" x14ac:dyDescent="0.3">
      <c r="A2" s="49" t="s">
        <v>276</v>
      </c>
      <c r="B2" s="50"/>
      <c r="C2" s="50"/>
      <c r="D2" s="50"/>
      <c r="E2" s="50"/>
      <c r="F2" s="50"/>
      <c r="G2" s="50"/>
      <c r="H2" s="50"/>
      <c r="I2" s="50"/>
      <c r="J2" s="5"/>
    </row>
    <row r="4" spans="1:10" ht="26" customHeight="1" x14ac:dyDescent="0.3">
      <c r="A4" s="9" t="s">
        <v>277</v>
      </c>
      <c r="B4" s="9" t="s">
        <v>278</v>
      </c>
      <c r="C4" s="9" t="s">
        <v>279</v>
      </c>
      <c r="D4" s="9" t="s">
        <v>280</v>
      </c>
      <c r="E4" s="9" t="s">
        <v>281</v>
      </c>
      <c r="F4" s="9" t="s">
        <v>282</v>
      </c>
      <c r="G4" s="9" t="s">
        <v>283</v>
      </c>
      <c r="H4" s="9" t="s">
        <v>284</v>
      </c>
      <c r="I4" s="9" t="s">
        <v>285</v>
      </c>
    </row>
    <row r="5" spans="1:10" ht="30" customHeight="1" x14ac:dyDescent="0.3">
      <c r="A5" s="11" t="s">
        <v>94</v>
      </c>
      <c r="B5" s="11">
        <v>1</v>
      </c>
      <c r="C5" s="13" t="s">
        <v>286</v>
      </c>
      <c r="D5" s="11" t="s">
        <v>287</v>
      </c>
      <c r="E5" s="11" t="s">
        <v>288</v>
      </c>
      <c r="F5" s="11" t="s">
        <v>289</v>
      </c>
      <c r="G5" s="13" t="s">
        <v>290</v>
      </c>
      <c r="H5" s="11" t="s">
        <v>93</v>
      </c>
      <c r="I5" s="13" t="s">
        <v>291</v>
      </c>
    </row>
    <row r="6" spans="1:10" ht="30" customHeight="1" x14ac:dyDescent="0.3">
      <c r="A6" s="11" t="s">
        <v>105</v>
      </c>
      <c r="B6" s="11">
        <v>2</v>
      </c>
      <c r="C6" s="13" t="s">
        <v>292</v>
      </c>
      <c r="D6" s="11" t="s">
        <v>293</v>
      </c>
      <c r="E6" s="11" t="s">
        <v>294</v>
      </c>
      <c r="F6" s="11" t="s">
        <v>295</v>
      </c>
      <c r="G6" s="13" t="s">
        <v>296</v>
      </c>
      <c r="H6" s="11" t="s">
        <v>104</v>
      </c>
      <c r="I6" s="13"/>
    </row>
    <row r="7" spans="1:10" ht="30" customHeight="1" x14ac:dyDescent="0.3">
      <c r="A7" s="11" t="s">
        <v>118</v>
      </c>
      <c r="B7" s="11">
        <v>4</v>
      </c>
      <c r="C7" s="13" t="s">
        <v>297</v>
      </c>
      <c r="D7" s="11" t="s">
        <v>298</v>
      </c>
      <c r="E7" s="11" t="s">
        <v>299</v>
      </c>
      <c r="F7" s="11" t="s">
        <v>300</v>
      </c>
      <c r="G7" s="13" t="s">
        <v>301</v>
      </c>
      <c r="H7" s="11" t="s">
        <v>93</v>
      </c>
      <c r="I7" s="13" t="s">
        <v>302</v>
      </c>
    </row>
    <row r="8" spans="1:10" ht="30" customHeight="1" x14ac:dyDescent="0.3">
      <c r="A8" s="11" t="s">
        <v>135</v>
      </c>
      <c r="B8" s="11">
        <v>7</v>
      </c>
      <c r="C8" s="13" t="s">
        <v>303</v>
      </c>
      <c r="D8" s="11" t="s">
        <v>304</v>
      </c>
      <c r="E8" s="11" t="s">
        <v>305</v>
      </c>
      <c r="F8" s="11" t="s">
        <v>300</v>
      </c>
      <c r="G8" s="13" t="s">
        <v>306</v>
      </c>
      <c r="H8" s="11" t="s">
        <v>104</v>
      </c>
      <c r="I8" s="13"/>
    </row>
    <row r="9" spans="1:10" ht="30" customHeight="1" x14ac:dyDescent="0.3">
      <c r="A9" s="11" t="s">
        <v>139</v>
      </c>
      <c r="B9" s="11">
        <v>8</v>
      </c>
      <c r="C9" s="13" t="s">
        <v>307</v>
      </c>
      <c r="D9" s="11" t="s">
        <v>308</v>
      </c>
      <c r="E9" s="11" t="s">
        <v>288</v>
      </c>
      <c r="F9" s="11" t="s">
        <v>309</v>
      </c>
      <c r="G9" s="13" t="s">
        <v>310</v>
      </c>
      <c r="H9" s="11" t="s">
        <v>93</v>
      </c>
      <c r="I9" s="13" t="s">
        <v>311</v>
      </c>
    </row>
    <row r="10" spans="1:10" ht="30" customHeight="1" x14ac:dyDescent="0.3">
      <c r="A10" s="11" t="s">
        <v>150</v>
      </c>
      <c r="B10" s="11">
        <v>10</v>
      </c>
      <c r="C10" s="13" t="s">
        <v>312</v>
      </c>
      <c r="D10" s="11" t="s">
        <v>313</v>
      </c>
      <c r="E10" s="11" t="s">
        <v>288</v>
      </c>
      <c r="F10" s="11" t="s">
        <v>314</v>
      </c>
      <c r="G10" s="13" t="s">
        <v>315</v>
      </c>
      <c r="H10" s="11" t="s">
        <v>93</v>
      </c>
      <c r="I10" s="13" t="s">
        <v>316</v>
      </c>
    </row>
    <row r="11" spans="1:10" ht="30" customHeight="1" x14ac:dyDescent="0.3">
      <c r="A11" s="11" t="s">
        <v>157</v>
      </c>
      <c r="B11" s="11">
        <v>11</v>
      </c>
      <c r="C11" s="13" t="s">
        <v>317</v>
      </c>
      <c r="D11" s="11" t="s">
        <v>318</v>
      </c>
      <c r="E11" s="11" t="s">
        <v>319</v>
      </c>
      <c r="F11" s="11" t="s">
        <v>300</v>
      </c>
      <c r="G11" s="13" t="s">
        <v>315</v>
      </c>
      <c r="H11" s="11" t="s">
        <v>104</v>
      </c>
      <c r="I11" s="13"/>
    </row>
    <row r="12" spans="1:10" ht="30" customHeight="1" x14ac:dyDescent="0.3">
      <c r="A12" s="11" t="s">
        <v>166</v>
      </c>
      <c r="B12" s="11">
        <v>13</v>
      </c>
      <c r="C12" s="13" t="s">
        <v>320</v>
      </c>
      <c r="D12" s="11" t="s">
        <v>321</v>
      </c>
      <c r="E12" s="11" t="s">
        <v>305</v>
      </c>
      <c r="F12" s="11" t="s">
        <v>289</v>
      </c>
      <c r="G12" s="13" t="s">
        <v>322</v>
      </c>
      <c r="H12" s="11" t="s">
        <v>93</v>
      </c>
      <c r="I12" s="13" t="s">
        <v>323</v>
      </c>
    </row>
    <row r="13" spans="1:10" ht="30" customHeight="1" x14ac:dyDescent="0.3">
      <c r="A13" s="11" t="s">
        <v>176</v>
      </c>
      <c r="B13" s="11">
        <v>15</v>
      </c>
      <c r="C13" s="13" t="s">
        <v>324</v>
      </c>
      <c r="D13" s="11" t="s">
        <v>325</v>
      </c>
      <c r="E13" s="11" t="s">
        <v>326</v>
      </c>
      <c r="F13" s="11" t="s">
        <v>327</v>
      </c>
      <c r="G13" s="13" t="s">
        <v>328</v>
      </c>
      <c r="H13" s="11" t="s">
        <v>104</v>
      </c>
      <c r="I13" s="13"/>
    </row>
    <row r="14" spans="1:10" ht="30" customHeight="1" x14ac:dyDescent="0.3">
      <c r="A14" s="11" t="s">
        <v>179</v>
      </c>
      <c r="B14" s="11">
        <v>16</v>
      </c>
      <c r="C14" s="13" t="s">
        <v>329</v>
      </c>
      <c r="D14" s="11" t="s">
        <v>330</v>
      </c>
      <c r="E14" s="11" t="s">
        <v>331</v>
      </c>
      <c r="F14" s="11" t="s">
        <v>332</v>
      </c>
      <c r="G14" s="13" t="s">
        <v>333</v>
      </c>
      <c r="H14" s="11" t="s">
        <v>93</v>
      </c>
      <c r="I14" s="13" t="s">
        <v>334</v>
      </c>
    </row>
    <row r="15" spans="1:10" ht="30" customHeight="1" x14ac:dyDescent="0.3">
      <c r="A15" s="11" t="s">
        <v>186</v>
      </c>
      <c r="B15" s="11">
        <v>17</v>
      </c>
      <c r="C15" s="13" t="s">
        <v>335</v>
      </c>
      <c r="D15" s="11" t="s">
        <v>336</v>
      </c>
      <c r="E15" s="11" t="s">
        <v>337</v>
      </c>
      <c r="F15" s="11" t="s">
        <v>300</v>
      </c>
      <c r="G15" s="13" t="s">
        <v>338</v>
      </c>
      <c r="H15" s="11" t="s">
        <v>93</v>
      </c>
      <c r="I15" s="13" t="s">
        <v>339</v>
      </c>
    </row>
    <row r="16" spans="1:10" ht="30" customHeight="1" x14ac:dyDescent="0.3">
      <c r="A16" s="11" t="s">
        <v>196</v>
      </c>
      <c r="B16" s="11">
        <v>19</v>
      </c>
      <c r="C16" s="13" t="s">
        <v>340</v>
      </c>
      <c r="D16" s="11" t="s">
        <v>341</v>
      </c>
      <c r="E16" s="11" t="s">
        <v>342</v>
      </c>
      <c r="F16" s="11" t="s">
        <v>343</v>
      </c>
      <c r="G16" s="13" t="s">
        <v>344</v>
      </c>
      <c r="H16" s="11" t="s">
        <v>93</v>
      </c>
      <c r="I16" s="13"/>
    </row>
    <row r="17" spans="1:9" ht="30" customHeight="1" x14ac:dyDescent="0.3">
      <c r="A17" s="11" t="s">
        <v>202</v>
      </c>
      <c r="B17" s="11">
        <v>20</v>
      </c>
      <c r="C17" s="13" t="s">
        <v>345</v>
      </c>
      <c r="D17" s="11" t="s">
        <v>346</v>
      </c>
      <c r="E17" s="11" t="s">
        <v>347</v>
      </c>
      <c r="F17" s="11" t="s">
        <v>348</v>
      </c>
      <c r="G17" s="13" t="s">
        <v>349</v>
      </c>
      <c r="H17" s="11" t="s">
        <v>104</v>
      </c>
      <c r="I17" s="13"/>
    </row>
    <row r="18" spans="1:9" ht="30" customHeight="1" x14ac:dyDescent="0.3">
      <c r="A18" s="11" t="s">
        <v>205</v>
      </c>
      <c r="B18" s="11">
        <v>21</v>
      </c>
      <c r="C18" s="13" t="s">
        <v>350</v>
      </c>
      <c r="D18" s="11" t="s">
        <v>351</v>
      </c>
      <c r="E18" s="11" t="s">
        <v>347</v>
      </c>
      <c r="F18" s="11" t="s">
        <v>352</v>
      </c>
      <c r="G18" s="13" t="s">
        <v>353</v>
      </c>
      <c r="H18" s="11" t="s">
        <v>104</v>
      </c>
      <c r="I18" s="13"/>
    </row>
    <row r="19" spans="1:9" ht="30" customHeight="1" x14ac:dyDescent="0.3">
      <c r="A19" s="11" t="s">
        <v>213</v>
      </c>
      <c r="B19" s="11">
        <v>22</v>
      </c>
      <c r="C19" s="13" t="s">
        <v>354</v>
      </c>
      <c r="D19" s="11" t="s">
        <v>355</v>
      </c>
      <c r="E19" s="11" t="s">
        <v>347</v>
      </c>
      <c r="F19" s="11" t="s">
        <v>295</v>
      </c>
      <c r="G19" s="13" t="s">
        <v>356</v>
      </c>
      <c r="H19" s="11" t="s">
        <v>93</v>
      </c>
      <c r="I19" s="13" t="s">
        <v>357</v>
      </c>
    </row>
    <row r="20" spans="1:9" ht="30" customHeight="1" x14ac:dyDescent="0.3">
      <c r="A20" s="11" t="s">
        <v>218</v>
      </c>
      <c r="B20" s="11">
        <v>23</v>
      </c>
      <c r="C20" s="13" t="s">
        <v>358</v>
      </c>
      <c r="D20" s="11" t="s">
        <v>359</v>
      </c>
      <c r="E20" s="11" t="s">
        <v>347</v>
      </c>
      <c r="F20" s="11" t="s">
        <v>295</v>
      </c>
      <c r="G20" s="13" t="s">
        <v>360</v>
      </c>
      <c r="H20" s="11" t="s">
        <v>104</v>
      </c>
      <c r="I20" s="13"/>
    </row>
    <row r="21" spans="1:9" ht="30" customHeight="1" x14ac:dyDescent="0.3">
      <c r="A21" s="11" t="s">
        <v>361</v>
      </c>
      <c r="B21" s="11">
        <v>1</v>
      </c>
      <c r="C21" s="13" t="s">
        <v>362</v>
      </c>
      <c r="D21" s="11" t="s">
        <v>363</v>
      </c>
      <c r="E21" s="11" t="s">
        <v>347</v>
      </c>
      <c r="F21" s="11" t="s">
        <v>348</v>
      </c>
      <c r="G21" s="13" t="s">
        <v>290</v>
      </c>
      <c r="H21" s="11" t="s">
        <v>110</v>
      </c>
      <c r="I21" s="13" t="s">
        <v>364</v>
      </c>
    </row>
    <row r="22" spans="1:9" ht="30" customHeight="1" x14ac:dyDescent="0.3">
      <c r="A22" s="11" t="s">
        <v>365</v>
      </c>
      <c r="B22" s="11">
        <v>19</v>
      </c>
      <c r="C22" s="13" t="s">
        <v>366</v>
      </c>
      <c r="D22" s="11" t="s">
        <v>367</v>
      </c>
      <c r="E22" s="11" t="s">
        <v>342</v>
      </c>
      <c r="F22" s="11" t="s">
        <v>343</v>
      </c>
      <c r="G22" s="13" t="s">
        <v>344</v>
      </c>
      <c r="H22" s="11" t="s">
        <v>93</v>
      </c>
      <c r="I22" s="13"/>
    </row>
    <row r="23" spans="1:9" ht="30" customHeight="1" x14ac:dyDescent="0.3">
      <c r="A23" s="11" t="s">
        <v>229</v>
      </c>
      <c r="B23" s="11">
        <v>25</v>
      </c>
      <c r="C23" s="13" t="s">
        <v>368</v>
      </c>
      <c r="D23" s="11" t="s">
        <v>369</v>
      </c>
      <c r="E23" s="11" t="s">
        <v>370</v>
      </c>
      <c r="F23" s="11" t="s">
        <v>295</v>
      </c>
      <c r="G23" s="13" t="s">
        <v>301</v>
      </c>
      <c r="H23" s="11" t="s">
        <v>93</v>
      </c>
      <c r="I23" s="13" t="s">
        <v>371</v>
      </c>
    </row>
    <row r="24" spans="1:9" ht="30" customHeight="1" x14ac:dyDescent="0.3">
      <c r="A24" s="11" t="s">
        <v>242</v>
      </c>
      <c r="B24" s="11">
        <v>28</v>
      </c>
      <c r="C24" s="13" t="s">
        <v>372</v>
      </c>
      <c r="D24" s="11" t="s">
        <v>373</v>
      </c>
      <c r="E24" s="11" t="s">
        <v>374</v>
      </c>
      <c r="F24" s="11" t="s">
        <v>300</v>
      </c>
      <c r="G24" s="13" t="s">
        <v>315</v>
      </c>
      <c r="H24" s="11" t="s">
        <v>93</v>
      </c>
      <c r="I24" s="13" t="s">
        <v>375</v>
      </c>
    </row>
    <row r="25" spans="1:9" ht="30" customHeight="1" x14ac:dyDescent="0.3">
      <c r="A25" s="11" t="s">
        <v>247</v>
      </c>
      <c r="B25" s="11">
        <v>29</v>
      </c>
      <c r="C25" s="13" t="s">
        <v>376</v>
      </c>
      <c r="D25" s="11" t="s">
        <v>377</v>
      </c>
      <c r="E25" s="11" t="s">
        <v>378</v>
      </c>
      <c r="F25" s="11" t="s">
        <v>300</v>
      </c>
      <c r="G25" s="13" t="s">
        <v>315</v>
      </c>
      <c r="H25" s="11" t="s">
        <v>104</v>
      </c>
      <c r="I25" s="13"/>
    </row>
    <row r="26" spans="1:9" ht="30" customHeight="1" x14ac:dyDescent="0.3">
      <c r="A26" s="11" t="s">
        <v>250</v>
      </c>
      <c r="B26" s="11">
        <v>30</v>
      </c>
      <c r="C26" s="13" t="s">
        <v>379</v>
      </c>
      <c r="D26" s="11" t="s">
        <v>380</v>
      </c>
      <c r="E26" s="11" t="s">
        <v>381</v>
      </c>
      <c r="F26" s="11" t="s">
        <v>289</v>
      </c>
      <c r="G26" s="13" t="s">
        <v>322</v>
      </c>
      <c r="H26" s="11" t="s">
        <v>93</v>
      </c>
      <c r="I26" s="13" t="s">
        <v>382</v>
      </c>
    </row>
    <row r="27" spans="1:9" ht="30" customHeight="1" x14ac:dyDescent="0.3">
      <c r="A27" s="11" t="s">
        <v>255</v>
      </c>
      <c r="B27" s="11">
        <v>31</v>
      </c>
      <c r="C27" s="13" t="s">
        <v>383</v>
      </c>
      <c r="D27" s="11" t="s">
        <v>384</v>
      </c>
      <c r="E27" s="11" t="s">
        <v>288</v>
      </c>
      <c r="F27" s="11" t="s">
        <v>289</v>
      </c>
      <c r="G27" s="13" t="s">
        <v>322</v>
      </c>
      <c r="H27" s="11" t="s">
        <v>104</v>
      </c>
      <c r="I27" s="13"/>
    </row>
    <row r="28" spans="1:9" ht="30" customHeight="1" x14ac:dyDescent="0.3">
      <c r="A28" s="11" t="s">
        <v>262</v>
      </c>
      <c r="B28" s="11">
        <v>33</v>
      </c>
      <c r="C28" s="13" t="s">
        <v>385</v>
      </c>
      <c r="D28" s="11" t="s">
        <v>386</v>
      </c>
      <c r="E28" s="11" t="s">
        <v>387</v>
      </c>
      <c r="F28" s="11" t="s">
        <v>300</v>
      </c>
      <c r="G28" s="13" t="s">
        <v>338</v>
      </c>
      <c r="H28" s="11" t="s">
        <v>93</v>
      </c>
      <c r="I28" s="13" t="s">
        <v>388</v>
      </c>
    </row>
    <row r="29" spans="1:9" ht="30" customHeight="1" x14ac:dyDescent="0.3">
      <c r="A29" s="11" t="s">
        <v>267</v>
      </c>
      <c r="B29" s="11">
        <v>34</v>
      </c>
      <c r="C29" s="13" t="s">
        <v>389</v>
      </c>
      <c r="D29" s="11" t="s">
        <v>390</v>
      </c>
      <c r="E29" s="11" t="s">
        <v>288</v>
      </c>
      <c r="F29" s="11" t="s">
        <v>391</v>
      </c>
      <c r="G29" s="13" t="s">
        <v>392</v>
      </c>
      <c r="H29" s="11" t="s">
        <v>104</v>
      </c>
      <c r="I29" s="13"/>
    </row>
    <row r="30" spans="1:9" ht="30" customHeight="1" x14ac:dyDescent="0.3">
      <c r="A30" s="11" t="s">
        <v>393</v>
      </c>
      <c r="B30" s="11">
        <v>3</v>
      </c>
      <c r="C30" s="13" t="s">
        <v>394</v>
      </c>
      <c r="D30" s="11" t="s">
        <v>395</v>
      </c>
      <c r="E30" s="11" t="s">
        <v>288</v>
      </c>
      <c r="F30" s="11" t="s">
        <v>309</v>
      </c>
      <c r="G30" s="13" t="s">
        <v>310</v>
      </c>
      <c r="H30" s="11" t="s">
        <v>110</v>
      </c>
      <c r="I30" s="13" t="s">
        <v>396</v>
      </c>
    </row>
    <row r="31" spans="1:9" ht="30" customHeight="1" x14ac:dyDescent="0.3">
      <c r="A31" s="11" t="s">
        <v>397</v>
      </c>
      <c r="B31" s="11">
        <v>6</v>
      </c>
      <c r="C31" s="13" t="s">
        <v>398</v>
      </c>
      <c r="D31" s="11" t="s">
        <v>399</v>
      </c>
      <c r="E31" s="11" t="s">
        <v>347</v>
      </c>
      <c r="F31" s="11" t="s">
        <v>343</v>
      </c>
      <c r="G31" s="13" t="s">
        <v>356</v>
      </c>
      <c r="H31" s="11" t="s">
        <v>110</v>
      </c>
      <c r="I31" s="13" t="s">
        <v>400</v>
      </c>
    </row>
    <row r="32" spans="1:9" ht="30" customHeight="1" x14ac:dyDescent="0.3">
      <c r="A32" s="11" t="s">
        <v>401</v>
      </c>
      <c r="B32" s="11">
        <v>12</v>
      </c>
      <c r="C32" s="13" t="s">
        <v>402</v>
      </c>
      <c r="D32" s="11" t="s">
        <v>403</v>
      </c>
      <c r="E32" s="11" t="s">
        <v>347</v>
      </c>
      <c r="F32" s="11" t="s">
        <v>295</v>
      </c>
      <c r="G32" s="13" t="s">
        <v>322</v>
      </c>
      <c r="H32" s="11" t="s">
        <v>110</v>
      </c>
      <c r="I32" s="13" t="s">
        <v>404</v>
      </c>
    </row>
    <row r="33" spans="1:9" ht="30" customHeight="1" x14ac:dyDescent="0.3">
      <c r="A33" s="11" t="s">
        <v>405</v>
      </c>
      <c r="B33" s="11">
        <v>24</v>
      </c>
      <c r="C33" s="13" t="s">
        <v>406</v>
      </c>
      <c r="D33" s="11" t="s">
        <v>407</v>
      </c>
      <c r="E33" s="11" t="s">
        <v>347</v>
      </c>
      <c r="F33" s="11" t="s">
        <v>295</v>
      </c>
      <c r="G33" s="13" t="s">
        <v>290</v>
      </c>
      <c r="H33" s="11" t="s">
        <v>110</v>
      </c>
      <c r="I33" s="13" t="s">
        <v>408</v>
      </c>
    </row>
    <row r="34" spans="1:9" ht="30" customHeight="1" x14ac:dyDescent="0.3">
      <c r="A34" s="11" t="s">
        <v>409</v>
      </c>
      <c r="B34" s="11">
        <v>35</v>
      </c>
      <c r="C34" s="13" t="s">
        <v>410</v>
      </c>
      <c r="D34" s="11" t="s">
        <v>411</v>
      </c>
      <c r="E34" s="11" t="s">
        <v>347</v>
      </c>
      <c r="F34" s="11" t="s">
        <v>343</v>
      </c>
      <c r="G34" s="13" t="s">
        <v>344</v>
      </c>
      <c r="H34" s="11" t="s">
        <v>110</v>
      </c>
      <c r="I34" s="13" t="s">
        <v>412</v>
      </c>
    </row>
    <row r="37" spans="1:9" ht="16" customHeight="1" x14ac:dyDescent="0.3">
      <c r="A37" s="45" t="s">
        <v>20</v>
      </c>
      <c r="B37" s="39"/>
      <c r="C37" s="39"/>
      <c r="D37" s="39"/>
      <c r="E37" s="39"/>
      <c r="F37" s="39"/>
      <c r="G37" s="39"/>
      <c r="H37" s="39"/>
      <c r="I37" s="39"/>
    </row>
  </sheetData>
  <sheetProtection sheet="1" formatCells="0" formatColumns="0" formatRows="0"/>
  <mergeCells count="3">
    <mergeCell ref="A1:I1"/>
    <mergeCell ref="A37:I37"/>
    <mergeCell ref="A2:I2"/>
  </mergeCells>
  <conditionalFormatting sqref="H5:H34">
    <cfRule type="cellIs" dxfId="16" priority="1" operator="equal">
      <formula>"متوفر"</formula>
    </cfRule>
    <cfRule type="cellIs" dxfId="15" priority="2" operator="equal">
      <formula>"متوفر جزئيًا"</formula>
    </cfRule>
    <cfRule type="cellIs" dxfId="14" priority="3" operator="equal">
      <formula>"غير متوفر"</formula>
    </cfRule>
    <cfRule type="cellIs" dxfId="13" priority="4" operator="equal">
      <formula>"لا ينطبق"</formula>
    </cfRule>
  </conditionalFormatting>
  <dataValidations count="3">
    <dataValidation type="list" allowBlank="1" showErrorMessage="1" sqref="F5:F34" xr:uid="{00000000-0002-0000-0400-000000000000}">
      <formula1>List_EvidenceType</formula1>
    </dataValidation>
    <dataValidation type="list" allowBlank="1" showErrorMessage="1" sqref="H5:H34" xr:uid="{00000000-0002-0000-0400-000001000000}">
      <formula1>List_Evidence</formula1>
    </dataValidation>
    <dataValidation type="list" allowBlank="1" showErrorMessage="1" sqref="B5:B34" xr:uid="{00000000-0002-0000-0400-000002000000}">
      <formula1>GapNumber</formula1>
    </dataValidation>
  </dataValidations>
  <hyperlinks>
    <hyperlink ref="A37" r:id="rId1" xr:uid="{00000000-0004-0000-0400-000000000000}"/>
  </hyperlinks>
  <pageMargins left="0.35" right="0.35" top="0.5" bottom="0.5" header="0.2" footer="0.2"/>
  <pageSetup fitToHeight="0" orientation="landscape"/>
  <headerFooter>
    <oddFooter>&amp;C&amp;8 &amp;K808080امتثال Imtithal.store — أداة تحليل فجوات ISO/IEC 17020:2026 (بيانات تجريبية DEMO حيث وردت) — صفحة &amp;P من &amp;N</oddFooter>
  </headerFooter>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9A227"/>
    <pageSetUpPr fitToPage="1"/>
  </sheetPr>
  <dimension ref="A1:O34"/>
  <sheetViews>
    <sheetView rightToLeft="1" workbookViewId="0">
      <pane xSplit="2" ySplit="4" topLeftCell="C5" activePane="bottomRight" state="frozen"/>
      <selection pane="topRight"/>
      <selection pane="bottomLeft"/>
      <selection pane="bottomRight" activeCell="H8" sqref="A5:M31"/>
    </sheetView>
  </sheetViews>
  <sheetFormatPr defaultRowHeight="14" x14ac:dyDescent="0.3"/>
  <cols>
    <col min="1" max="2" width="11" customWidth="1"/>
    <col min="3" max="3" width="30" customWidth="1"/>
    <col min="4" max="4" width="11" customWidth="1"/>
    <col min="5" max="5" width="10" customWidth="1"/>
    <col min="6" max="6" width="32" customWidth="1"/>
    <col min="7" max="7" width="16" customWidth="1"/>
    <col min="8" max="8" width="13" customWidth="1"/>
    <col min="9" max="9" width="15" customWidth="1"/>
    <col min="10" max="10" width="12" customWidth="1"/>
    <col min="11" max="11" width="9" customWidth="1"/>
    <col min="12" max="12" width="11" customWidth="1"/>
    <col min="13" max="13" width="13" customWidth="1"/>
    <col min="14" max="14" width="15" customWidth="1"/>
    <col min="15" max="15" width="10" hidden="1" customWidth="1"/>
  </cols>
  <sheetData>
    <row r="1" spans="1:15" ht="30" customHeight="1" x14ac:dyDescent="0.3">
      <c r="A1" s="47" t="s">
        <v>413</v>
      </c>
      <c r="B1" s="35"/>
      <c r="C1" s="35"/>
      <c r="D1" s="35"/>
      <c r="E1" s="35"/>
      <c r="F1" s="35"/>
      <c r="G1" s="35"/>
      <c r="H1" s="35"/>
      <c r="I1" s="35"/>
      <c r="J1" s="35"/>
      <c r="K1" s="35"/>
      <c r="L1" s="35"/>
      <c r="M1" s="35"/>
      <c r="N1" s="1"/>
    </row>
    <row r="2" spans="1:15" ht="18" customHeight="1" x14ac:dyDescent="0.3">
      <c r="A2" s="49" t="s">
        <v>414</v>
      </c>
      <c r="B2" s="50"/>
      <c r="C2" s="50"/>
      <c r="D2" s="50"/>
      <c r="E2" s="50"/>
      <c r="F2" s="50"/>
      <c r="G2" s="50"/>
      <c r="H2" s="50"/>
      <c r="I2" s="50"/>
      <c r="J2" s="50"/>
      <c r="K2" s="50"/>
      <c r="L2" s="50"/>
      <c r="M2" s="50"/>
      <c r="N2" s="5"/>
    </row>
    <row r="4" spans="1:15" ht="26" customHeight="1" x14ac:dyDescent="0.3">
      <c r="A4" s="9" t="s">
        <v>415</v>
      </c>
      <c r="B4" s="9" t="s">
        <v>278</v>
      </c>
      <c r="C4" s="9" t="s">
        <v>416</v>
      </c>
      <c r="D4" s="9" t="s">
        <v>81</v>
      </c>
      <c r="E4" s="9" t="s">
        <v>82</v>
      </c>
      <c r="F4" s="9" t="s">
        <v>83</v>
      </c>
      <c r="G4" s="9" t="s">
        <v>84</v>
      </c>
      <c r="H4" s="9" t="s">
        <v>85</v>
      </c>
      <c r="I4" s="9" t="s">
        <v>86</v>
      </c>
      <c r="J4" s="9" t="s">
        <v>417</v>
      </c>
      <c r="K4" s="9" t="s">
        <v>418</v>
      </c>
      <c r="L4" s="9" t="s">
        <v>419</v>
      </c>
      <c r="M4" s="9" t="s">
        <v>88</v>
      </c>
      <c r="O4" s="15" t="s">
        <v>420</v>
      </c>
    </row>
    <row r="5" spans="1:15" ht="34" customHeight="1" x14ac:dyDescent="0.3">
      <c r="A5" s="10" t="str">
        <f t="shared" ref="A5:A31" si="0">"ACT-"&amp;TEXT(ROW()-4,"000")</f>
        <v>ACT-001</v>
      </c>
      <c r="B5" s="11">
        <v>1</v>
      </c>
      <c r="C5" s="12" t="str">
        <f t="shared" ref="C5:C31" si="1">IFERROR(INDEX(GapNote,MATCH(B5,GapNumber,0)),"")</f>
        <v>أساس التصنيف موثّق ضمن اللائحة الداخلية دون قرار رسمي معتمد من الإدارة العليا.</v>
      </c>
      <c r="D5" s="10" t="str">
        <f t="shared" ref="D5:D31" si="2">IFERROR(INDEX(GapSeverity,MATCH(B5,GapNumber,0)),"")</f>
        <v>رئيسي</v>
      </c>
      <c r="E5" s="10" t="str">
        <f t="shared" ref="E5:E31" si="3">IFERROR(INDEX(GapPriority,MATCH(B5,GapNumber,0)),"")</f>
        <v>عالية</v>
      </c>
      <c r="F5" s="12" t="str">
        <f t="shared" ref="F5:F31" si="4">IFERROR(INDEX(GapAction,MATCH(B5,GapNumber,0)),"")</f>
        <v>استكمال توثيق واعتماد قرار التصنيف رسميًا من الإدارة العليا.</v>
      </c>
      <c r="G5" s="10" t="str">
        <f t="shared" ref="G5:G31" si="5">IFERROR(INDEX(GapResp,MATCH(B5,GapNumber,0)),"")</f>
        <v>مدير الجودة</v>
      </c>
      <c r="H5" s="16">
        <f t="shared" ref="H5:H31" si="6">IF(IFERROR(INDEX(GapDue,MATCH(B5,GapNumber,0)),0)=0,"",INDEX(GapDue,MATCH(B5,GapNumber,0)))</f>
        <v>46310</v>
      </c>
      <c r="I5" s="10" t="str">
        <f t="shared" ref="I5:I31" si="7">IFERROR(INDEX(GapAStatus,MATCH(B5,GapNumber,0)),"")</f>
        <v>قيد التنفيذ</v>
      </c>
      <c r="J5" s="10">
        <f t="shared" ref="J5:J31" ca="1" si="8">IF(H5="","",H5-TODAY())</f>
        <v>40</v>
      </c>
      <c r="K5" s="10" t="str">
        <f t="shared" ref="K5:K31" ca="1" si="9">IF(AND(H5&lt;&gt;"",H5&lt;TODAY(),I5&lt;&gt;"مكتمل",I5&lt;&gt;"تم التحقق من الإغلاق"),"نعم","لا")</f>
        <v>لا</v>
      </c>
      <c r="L5" s="10" t="str">
        <f t="shared" ref="L5:L31" si="10">IFERROR(INDEX(GapVerify,MATCH(B5,GapNumber,0)),"")</f>
        <v>لا</v>
      </c>
      <c r="M5" s="16" t="str">
        <f t="shared" ref="M5:M31" si="11">IF(IFERROR(INDEX(GapClose,MATCH(B5,GapNumber,0)),0)=0,"",INDEX(GapClose,MATCH(B5,GapNumber,0)))</f>
        <v/>
      </c>
      <c r="O5">
        <f t="shared" ref="O5:O31" si="12">IF(OR(D5="حرج",E5="عالية"),ROW(),9999)</f>
        <v>5</v>
      </c>
    </row>
    <row r="6" spans="1:15" ht="34" customHeight="1" x14ac:dyDescent="0.3">
      <c r="A6" s="10" t="str">
        <f t="shared" si="0"/>
        <v>ACT-002</v>
      </c>
      <c r="B6" s="11">
        <v>3</v>
      </c>
      <c r="C6" s="12" t="str">
        <f t="shared" si="1"/>
        <v>لا يوجد سجل مخاطر حياد موسّع؛ الاكتفاء بإقرارات حياد فردية دون تحليل منهجي لمصادر التهديد.</v>
      </c>
      <c r="D6" s="10" t="str">
        <f t="shared" si="2"/>
        <v>حرج</v>
      </c>
      <c r="E6" s="10" t="str">
        <f t="shared" si="3"/>
        <v>عالية</v>
      </c>
      <c r="F6" s="12" t="str">
        <f t="shared" si="4"/>
        <v>بناء سجل مخاطر حياد موسّع يغطي العلاقات التنظيمية والاستعانة بمصادر خارجية والضغوط المالية.</v>
      </c>
      <c r="G6" s="10" t="str">
        <f t="shared" si="5"/>
        <v>مسؤول الحياد</v>
      </c>
      <c r="H6" s="16">
        <f t="shared" si="6"/>
        <v>46254</v>
      </c>
      <c r="I6" s="10" t="str">
        <f t="shared" si="7"/>
        <v>متأخر</v>
      </c>
      <c r="J6" s="10">
        <f t="shared" ca="1" si="8"/>
        <v>-16</v>
      </c>
      <c r="K6" s="10" t="str">
        <f t="shared" ca="1" si="9"/>
        <v>نعم</v>
      </c>
      <c r="L6" s="10" t="str">
        <f t="shared" si="10"/>
        <v>لا</v>
      </c>
      <c r="M6" s="16" t="str">
        <f t="shared" si="11"/>
        <v/>
      </c>
      <c r="O6">
        <f t="shared" si="12"/>
        <v>6</v>
      </c>
    </row>
    <row r="7" spans="1:15" ht="34" customHeight="1" x14ac:dyDescent="0.3">
      <c r="A7" s="10" t="str">
        <f t="shared" si="0"/>
        <v>ACT-003</v>
      </c>
      <c r="B7" s="11">
        <v>4</v>
      </c>
      <c r="C7" s="12" t="str">
        <f t="shared" si="1"/>
        <v>آلية تصعيد تعارض المصالح غير موثّقة كإجراء مستقل.</v>
      </c>
      <c r="D7" s="10" t="str">
        <f t="shared" si="2"/>
        <v>رئيسي</v>
      </c>
      <c r="E7" s="10" t="str">
        <f t="shared" si="3"/>
        <v>متوسطة</v>
      </c>
      <c r="F7" s="12" t="str">
        <f t="shared" si="4"/>
        <v>توثيق إجراء مستقل لتصعيد ومعالجة حالات تعارض المصالح.</v>
      </c>
      <c r="G7" s="10" t="str">
        <f t="shared" si="5"/>
        <v>مسؤول الحياد</v>
      </c>
      <c r="H7" s="16">
        <f t="shared" si="6"/>
        <v>46327</v>
      </c>
      <c r="I7" s="10" t="str">
        <f t="shared" si="7"/>
        <v>قيد التنفيذ</v>
      </c>
      <c r="J7" s="10">
        <f t="shared" ca="1" si="8"/>
        <v>57</v>
      </c>
      <c r="K7" s="10" t="str">
        <f t="shared" ca="1" si="9"/>
        <v>لا</v>
      </c>
      <c r="L7" s="10" t="str">
        <f t="shared" si="10"/>
        <v>لا</v>
      </c>
      <c r="M7" s="16" t="str">
        <f t="shared" si="11"/>
        <v/>
      </c>
      <c r="O7">
        <f t="shared" si="12"/>
        <v>9999</v>
      </c>
    </row>
    <row r="8" spans="1:15" ht="34" customHeight="1" x14ac:dyDescent="0.3">
      <c r="A8" s="10" t="str">
        <f t="shared" si="0"/>
        <v>ACT-004</v>
      </c>
      <c r="B8" s="11">
        <v>5</v>
      </c>
      <c r="C8" s="12" t="str">
        <f t="shared" si="1"/>
        <v>سجل المخاطر الحالي يقتصر على مخاطر الحياد ولا يغطي مخاطر التشغيل وصحة النتائج.</v>
      </c>
      <c r="D8" s="10" t="str">
        <f t="shared" si="2"/>
        <v>رئيسي</v>
      </c>
      <c r="E8" s="10" t="str">
        <f t="shared" si="3"/>
        <v>عالية</v>
      </c>
      <c r="F8" s="12" t="str">
        <f t="shared" si="4"/>
        <v>توسيع سجل المخاطر والفرص ليشمل المخاطر التشغيلية مع خطط استجابة موثقة.</v>
      </c>
      <c r="G8" s="10" t="str">
        <f t="shared" si="5"/>
        <v>مدير الجودة</v>
      </c>
      <c r="H8" s="16">
        <f t="shared" si="6"/>
        <v>46296</v>
      </c>
      <c r="I8" s="10" t="str">
        <f t="shared" si="7"/>
        <v>لم يبدأ</v>
      </c>
      <c r="J8" s="10">
        <f t="shared" ca="1" si="8"/>
        <v>26</v>
      </c>
      <c r="K8" s="10" t="str">
        <f t="shared" ca="1" si="9"/>
        <v>لا</v>
      </c>
      <c r="L8" s="10" t="str">
        <f t="shared" si="10"/>
        <v>لا</v>
      </c>
      <c r="M8" s="16" t="str">
        <f t="shared" si="11"/>
        <v/>
      </c>
      <c r="O8">
        <f t="shared" si="12"/>
        <v>8</v>
      </c>
    </row>
    <row r="9" spans="1:15" ht="34" customHeight="1" x14ac:dyDescent="0.3">
      <c r="A9" s="10" t="str">
        <f t="shared" si="0"/>
        <v>ACT-005</v>
      </c>
      <c r="B9" s="11">
        <v>6</v>
      </c>
      <c r="C9" s="12" t="str">
        <f t="shared" si="1"/>
        <v>لا توجد منهجية موثقة لتحليل كفاية التغطية التأمينية؛ التجديد يتم دون تحليل رسمي.</v>
      </c>
      <c r="D9" s="10" t="str">
        <f t="shared" si="2"/>
        <v>حرج</v>
      </c>
      <c r="E9" s="10" t="str">
        <f t="shared" si="3"/>
        <v>عالية</v>
      </c>
      <c r="F9" s="12" t="str">
        <f t="shared" si="4"/>
        <v>إعداد منهجية موثّقة لتحليل واحتساب كفاية التغطية التأمينية ومراجعتها سنويًا.</v>
      </c>
      <c r="G9" s="10" t="str">
        <f t="shared" si="5"/>
        <v>الإدارة المالية / مدير الجودة</v>
      </c>
      <c r="H9" s="16">
        <f t="shared" si="6"/>
        <v>46275</v>
      </c>
      <c r="I9" s="10" t="str">
        <f t="shared" si="7"/>
        <v>لم يبدأ</v>
      </c>
      <c r="J9" s="10">
        <f t="shared" ca="1" si="8"/>
        <v>5</v>
      </c>
      <c r="K9" s="10" t="str">
        <f t="shared" ca="1" si="9"/>
        <v>لا</v>
      </c>
      <c r="L9" s="10" t="str">
        <f t="shared" si="10"/>
        <v>لا</v>
      </c>
      <c r="M9" s="16" t="str">
        <f t="shared" si="11"/>
        <v/>
      </c>
      <c r="O9">
        <f t="shared" si="12"/>
        <v>9</v>
      </c>
    </row>
    <row r="10" spans="1:15" ht="34" customHeight="1" x14ac:dyDescent="0.3">
      <c r="A10" s="10" t="str">
        <f t="shared" si="0"/>
        <v>ACT-006</v>
      </c>
      <c r="B10" s="11">
        <v>8</v>
      </c>
      <c r="C10" s="12" t="str">
        <f t="shared" si="1"/>
        <v>التحقق عن بُعد مطبّق جزئيًا لفئة واحدة من العاملين فقط.</v>
      </c>
      <c r="D10" s="10" t="str">
        <f t="shared" si="2"/>
        <v>ثانوي</v>
      </c>
      <c r="E10" s="10" t="str">
        <f t="shared" si="3"/>
        <v>متوسطة</v>
      </c>
      <c r="F10" s="12" t="str">
        <f t="shared" si="4"/>
        <v>توسيع أسلوب التحقق عن بُعد ليشمل جميع فئات العاملين والموارد الخارجية.</v>
      </c>
      <c r="G10" s="10" t="str">
        <f t="shared" si="5"/>
        <v>مسؤول الموارد البشرية</v>
      </c>
      <c r="H10" s="16">
        <f t="shared" si="6"/>
        <v>46357</v>
      </c>
      <c r="I10" s="10" t="str">
        <f t="shared" si="7"/>
        <v>قيد التنفيذ</v>
      </c>
      <c r="J10" s="10">
        <f t="shared" ca="1" si="8"/>
        <v>87</v>
      </c>
      <c r="K10" s="10" t="str">
        <f t="shared" ca="1" si="9"/>
        <v>لا</v>
      </c>
      <c r="L10" s="10" t="str">
        <f t="shared" si="10"/>
        <v>لا</v>
      </c>
      <c r="M10" s="16" t="str">
        <f t="shared" si="11"/>
        <v/>
      </c>
      <c r="O10">
        <f t="shared" si="12"/>
        <v>9999</v>
      </c>
    </row>
    <row r="11" spans="1:15" ht="34" customHeight="1" x14ac:dyDescent="0.3">
      <c r="A11" s="10" t="str">
        <f t="shared" si="0"/>
        <v>ACT-007</v>
      </c>
      <c r="B11" s="11">
        <v>9</v>
      </c>
      <c r="C11" s="12" t="str">
        <f t="shared" si="1"/>
        <v>مصفوفة الكفاءة تُحدَّث سنويًا فقط دون مؤشرات مراقبة مستمرة.</v>
      </c>
      <c r="D11" s="10" t="str">
        <f t="shared" si="2"/>
        <v>رئيسي</v>
      </c>
      <c r="E11" s="10" t="str">
        <f t="shared" si="3"/>
        <v>عالية</v>
      </c>
      <c r="F11" s="12" t="str">
        <f t="shared" si="4"/>
        <v>تطوير مصفوفة كفاءة ديناميكية بمؤشرات مراقبة مستمرة.</v>
      </c>
      <c r="G11" s="10" t="str">
        <f t="shared" si="5"/>
        <v>مسؤول الموارد البشرية</v>
      </c>
      <c r="H11" s="16">
        <f t="shared" si="6"/>
        <v>46315</v>
      </c>
      <c r="I11" s="10" t="str">
        <f t="shared" si="7"/>
        <v>لم يبدأ</v>
      </c>
      <c r="J11" s="10">
        <f t="shared" ca="1" si="8"/>
        <v>45</v>
      </c>
      <c r="K11" s="10" t="str">
        <f t="shared" ca="1" si="9"/>
        <v>لا</v>
      </c>
      <c r="L11" s="10" t="str">
        <f t="shared" si="10"/>
        <v>لا</v>
      </c>
      <c r="M11" s="16" t="str">
        <f t="shared" si="11"/>
        <v/>
      </c>
      <c r="O11">
        <f t="shared" si="12"/>
        <v>11</v>
      </c>
    </row>
    <row r="12" spans="1:15" ht="34" customHeight="1" x14ac:dyDescent="0.3">
      <c r="A12" s="10" t="str">
        <f t="shared" si="0"/>
        <v>ACT-008</v>
      </c>
      <c r="B12" s="11">
        <v>10</v>
      </c>
      <c r="C12" s="12" t="str">
        <f t="shared" si="1"/>
        <v>التغطية تتم لبعض المجالات فقط دون جدول سنوي شامل.</v>
      </c>
      <c r="D12" s="10" t="str">
        <f t="shared" si="2"/>
        <v>ثانوي</v>
      </c>
      <c r="E12" s="10" t="str">
        <f t="shared" si="3"/>
        <v>منخفضة</v>
      </c>
      <c r="F12" s="12" t="str">
        <f t="shared" si="4"/>
        <v>إعداد جدول سنوي شامل للتفتيش الدوري/الصوري لكل مجالات النطاق غير المفعّلة.</v>
      </c>
      <c r="G12" s="10" t="str">
        <f t="shared" si="5"/>
        <v>مدير الجودة</v>
      </c>
      <c r="H12" s="16">
        <f t="shared" si="6"/>
        <v>46402</v>
      </c>
      <c r="I12" s="10" t="str">
        <f t="shared" si="7"/>
        <v>قيد التنفيذ</v>
      </c>
      <c r="J12" s="10">
        <f t="shared" ca="1" si="8"/>
        <v>132</v>
      </c>
      <c r="K12" s="10" t="str">
        <f t="shared" ca="1" si="9"/>
        <v>لا</v>
      </c>
      <c r="L12" s="10" t="str">
        <f t="shared" si="10"/>
        <v>لا</v>
      </c>
      <c r="M12" s="16" t="str">
        <f t="shared" si="11"/>
        <v/>
      </c>
      <c r="O12">
        <f t="shared" si="12"/>
        <v>9999</v>
      </c>
    </row>
    <row r="13" spans="1:15" ht="34" customHeight="1" x14ac:dyDescent="0.3">
      <c r="A13" s="10" t="str">
        <f t="shared" si="0"/>
        <v>ACT-009</v>
      </c>
      <c r="B13" s="11">
        <v>12</v>
      </c>
      <c r="C13" s="12" t="str">
        <f t="shared" si="1"/>
        <v>لا يوجد سجل تحقق (Validation) موثّق لأدوات التفتيش الرقمية المستخدمة حاليًا.</v>
      </c>
      <c r="D13" s="10" t="str">
        <f t="shared" si="2"/>
        <v>رئيسي</v>
      </c>
      <c r="E13" s="10" t="str">
        <f t="shared" si="3"/>
        <v>عالية</v>
      </c>
      <c r="F13" s="12" t="str">
        <f t="shared" si="4"/>
        <v>توثيق عملية تحقق رسمية لكل أداة/برنامج رقمي يُستخدم في التفتيش.</v>
      </c>
      <c r="G13" s="10" t="str">
        <f t="shared" si="5"/>
        <v>مسؤول تقنية المعلومات</v>
      </c>
      <c r="H13" s="16">
        <f t="shared" si="6"/>
        <v>46290</v>
      </c>
      <c r="I13" s="10" t="str">
        <f t="shared" si="7"/>
        <v>لم يبدأ</v>
      </c>
      <c r="J13" s="10">
        <f t="shared" ca="1" si="8"/>
        <v>20</v>
      </c>
      <c r="K13" s="10" t="str">
        <f t="shared" ca="1" si="9"/>
        <v>لا</v>
      </c>
      <c r="L13" s="10" t="str">
        <f t="shared" si="10"/>
        <v>لا</v>
      </c>
      <c r="M13" s="16" t="str">
        <f t="shared" si="11"/>
        <v/>
      </c>
      <c r="O13">
        <f t="shared" si="12"/>
        <v>13</v>
      </c>
    </row>
    <row r="14" spans="1:15" ht="34" customHeight="1" x14ac:dyDescent="0.3">
      <c r="A14" s="10" t="str">
        <f t="shared" si="0"/>
        <v>ACT-010</v>
      </c>
      <c r="B14" s="11">
        <v>13</v>
      </c>
      <c r="C14" s="12" t="str">
        <f t="shared" si="1"/>
        <v>سياسة حماية البيانات لا تغطي تتبع التعديلات (Audit Trail) على السجلات الإلكترونية.</v>
      </c>
      <c r="D14" s="10" t="str">
        <f t="shared" si="2"/>
        <v>رئيسي</v>
      </c>
      <c r="E14" s="10" t="str">
        <f t="shared" si="3"/>
        <v>عالية</v>
      </c>
      <c r="F14" s="12" t="str">
        <f t="shared" si="4"/>
        <v>تفعيل خاصية تتبع التعديلات على السجلات الإلكترونية وتحديث السياسة.</v>
      </c>
      <c r="G14" s="10" t="str">
        <f t="shared" si="5"/>
        <v>مسؤول تقنية المعلومات</v>
      </c>
      <c r="H14" s="16">
        <f t="shared" si="6"/>
        <v>46305</v>
      </c>
      <c r="I14" s="10" t="str">
        <f t="shared" si="7"/>
        <v>قيد التنفيذ</v>
      </c>
      <c r="J14" s="10">
        <f t="shared" ca="1" si="8"/>
        <v>35</v>
      </c>
      <c r="K14" s="10" t="str">
        <f t="shared" ca="1" si="9"/>
        <v>لا</v>
      </c>
      <c r="L14" s="10" t="str">
        <f t="shared" si="10"/>
        <v>لا</v>
      </c>
      <c r="M14" s="16" t="str">
        <f t="shared" si="11"/>
        <v/>
      </c>
      <c r="O14">
        <f t="shared" si="12"/>
        <v>14</v>
      </c>
    </row>
    <row r="15" spans="1:15" ht="34" customHeight="1" x14ac:dyDescent="0.3">
      <c r="A15" s="10" t="str">
        <f t="shared" si="0"/>
        <v>ACT-011</v>
      </c>
      <c r="B15" s="11">
        <v>16</v>
      </c>
      <c r="C15" s="12" t="str">
        <f t="shared" si="1"/>
        <v>آلية مراجعة مخرجات مقدّمي الخدمات الخارجيين غير موثّقة كإجراء رسمي.</v>
      </c>
      <c r="D15" s="10" t="str">
        <f t="shared" si="2"/>
        <v>ثانوي</v>
      </c>
      <c r="E15" s="10" t="str">
        <f t="shared" si="3"/>
        <v>متوسطة</v>
      </c>
      <c r="F15" s="12" t="str">
        <f t="shared" si="4"/>
        <v>توثيق إجراء رسمي لمراجعة واعتماد مخرجات مقدّمي الخدمات الخارجيين.</v>
      </c>
      <c r="G15" s="10" t="str">
        <f t="shared" si="5"/>
        <v>مدير المشتريات / مدير الجودة</v>
      </c>
      <c r="H15" s="16">
        <f t="shared" si="6"/>
        <v>46341</v>
      </c>
      <c r="I15" s="10" t="str">
        <f t="shared" si="7"/>
        <v>قيد التنفيذ</v>
      </c>
      <c r="J15" s="10">
        <f t="shared" ca="1" si="8"/>
        <v>71</v>
      </c>
      <c r="K15" s="10" t="str">
        <f t="shared" ca="1" si="9"/>
        <v>لا</v>
      </c>
      <c r="L15" s="10" t="str">
        <f t="shared" si="10"/>
        <v>لا</v>
      </c>
      <c r="M15" s="16" t="str">
        <f t="shared" si="11"/>
        <v/>
      </c>
      <c r="O15">
        <f t="shared" si="12"/>
        <v>9999</v>
      </c>
    </row>
    <row r="16" spans="1:15" ht="34" customHeight="1" x14ac:dyDescent="0.3">
      <c r="A16" s="10" t="str">
        <f t="shared" si="0"/>
        <v>ACT-012</v>
      </c>
      <c r="B16" s="11">
        <v>17</v>
      </c>
      <c r="C16" s="12" t="str">
        <f t="shared" si="1"/>
        <v>المهل الزمنية لمعالجة التظلمات غير محدَّدة صراحة في الإجراء الحالي.</v>
      </c>
      <c r="D16" s="10" t="str">
        <f t="shared" si="2"/>
        <v>ثانوي</v>
      </c>
      <c r="E16" s="10" t="str">
        <f t="shared" si="3"/>
        <v>متوسطة</v>
      </c>
      <c r="F16" s="12" t="str">
        <f t="shared" si="4"/>
        <v>تحديث إجراء الشكاوى والتظلمات بمهل زمنية واضحة لكل مرحلة.</v>
      </c>
      <c r="G16" s="10" t="str">
        <f t="shared" si="5"/>
        <v>مدير الجودة</v>
      </c>
      <c r="H16" s="16">
        <f t="shared" si="6"/>
        <v>46325</v>
      </c>
      <c r="I16" s="10" t="str">
        <f t="shared" si="7"/>
        <v>لم يبدأ</v>
      </c>
      <c r="J16" s="10">
        <f t="shared" ca="1" si="8"/>
        <v>55</v>
      </c>
      <c r="K16" s="10" t="str">
        <f t="shared" ca="1" si="9"/>
        <v>لا</v>
      </c>
      <c r="L16" s="10" t="str">
        <f t="shared" si="10"/>
        <v>لا</v>
      </c>
      <c r="M16" s="16" t="str">
        <f t="shared" si="11"/>
        <v/>
      </c>
      <c r="O16">
        <f t="shared" si="12"/>
        <v>9999</v>
      </c>
    </row>
    <row r="17" spans="1:15" ht="34" customHeight="1" x14ac:dyDescent="0.3">
      <c r="A17" s="10" t="str">
        <f t="shared" si="0"/>
        <v>ACT-013</v>
      </c>
      <c r="B17" s="11">
        <v>18</v>
      </c>
      <c r="C17" s="12" t="str">
        <f t="shared" si="1"/>
        <v>لا يوجد تحليل اتجاهات دوري للشكاوى؛ يتم التعامل مع كل شكوى بشكل منفرد.</v>
      </c>
      <c r="D17" s="10" t="str">
        <f t="shared" si="2"/>
        <v>ثانوي</v>
      </c>
      <c r="E17" s="10" t="str">
        <f t="shared" si="3"/>
        <v>منخفضة</v>
      </c>
      <c r="F17" s="12" t="str">
        <f t="shared" si="4"/>
        <v>إعداد تقرير تحليل اتجاهات شكاوى نصف سنوي وربطه بسجل المخاطر.</v>
      </c>
      <c r="G17" s="10" t="str">
        <f t="shared" si="5"/>
        <v>مدير الجودة</v>
      </c>
      <c r="H17" s="16">
        <f t="shared" si="6"/>
        <v>46419</v>
      </c>
      <c r="I17" s="10" t="str">
        <f t="shared" si="7"/>
        <v>لم يبدأ</v>
      </c>
      <c r="J17" s="10">
        <f t="shared" ca="1" si="8"/>
        <v>149</v>
      </c>
      <c r="K17" s="10" t="str">
        <f t="shared" ca="1" si="9"/>
        <v>لا</v>
      </c>
      <c r="L17" s="10" t="str">
        <f t="shared" si="10"/>
        <v>لا</v>
      </c>
      <c r="M17" s="16" t="str">
        <f t="shared" si="11"/>
        <v/>
      </c>
      <c r="O17">
        <f t="shared" si="12"/>
        <v>9999</v>
      </c>
    </row>
    <row r="18" spans="1:15" ht="34" customHeight="1" x14ac:dyDescent="0.3">
      <c r="A18" s="10" t="str">
        <f t="shared" si="0"/>
        <v>ACT-014</v>
      </c>
      <c r="B18" s="11">
        <v>19</v>
      </c>
      <c r="C18" s="12" t="str">
        <f t="shared" si="1"/>
        <v>لم تُجرَ مقارنة رسمية بعد بين نظام الإدارة الحالي والعناصر المشتركة المحدَّثة.</v>
      </c>
      <c r="D18" s="10" t="str">
        <f t="shared" si="2"/>
        <v>ملاحظة</v>
      </c>
      <c r="E18" s="10" t="str">
        <f t="shared" si="3"/>
        <v>منخفضة</v>
      </c>
      <c r="F18" s="12" t="str">
        <f t="shared" si="4"/>
        <v>إجراء مراجعة مقارنة رسمية لعناصر نظام الإدارة المشتركة وتوثيق النتائج.</v>
      </c>
      <c r="G18" s="10" t="str">
        <f t="shared" si="5"/>
        <v>مدير الجودة</v>
      </c>
      <c r="H18" s="16">
        <f t="shared" si="6"/>
        <v>46371</v>
      </c>
      <c r="I18" s="10" t="str">
        <f t="shared" si="7"/>
        <v>قيد التنفيذ</v>
      </c>
      <c r="J18" s="10">
        <f t="shared" ca="1" si="8"/>
        <v>101</v>
      </c>
      <c r="K18" s="10" t="str">
        <f t="shared" ca="1" si="9"/>
        <v>لا</v>
      </c>
      <c r="L18" s="10" t="str">
        <f t="shared" si="10"/>
        <v>لا</v>
      </c>
      <c r="M18" s="16" t="str">
        <f t="shared" si="11"/>
        <v/>
      </c>
      <c r="O18">
        <f t="shared" si="12"/>
        <v>9999</v>
      </c>
    </row>
    <row r="19" spans="1:15" ht="34" customHeight="1" x14ac:dyDescent="0.3">
      <c r="A19" s="10" t="str">
        <f t="shared" si="0"/>
        <v>ACT-015</v>
      </c>
      <c r="B19" s="11">
        <v>21</v>
      </c>
      <c r="C19" s="12" t="str">
        <f t="shared" si="1"/>
        <v>آخر ملاحظات التدقيق الداخلي أُغلقت دون توثيق التحقق من فعالية الإجراء.</v>
      </c>
      <c r="D19" s="10" t="str">
        <f t="shared" si="2"/>
        <v>ثانوي</v>
      </c>
      <c r="E19" s="10" t="str">
        <f t="shared" si="3"/>
        <v>متوسطة</v>
      </c>
      <c r="F19" s="12" t="str">
        <f t="shared" si="4"/>
        <v>توثيق التحقق من فعالية إجراءات إغلاق ملاحظات التدقيق الداخلي.</v>
      </c>
      <c r="G19" s="10" t="str">
        <f t="shared" si="5"/>
        <v>مدير الجودة</v>
      </c>
      <c r="H19" s="16">
        <f t="shared" si="6"/>
        <v>46249</v>
      </c>
      <c r="I19" s="10" t="str">
        <f t="shared" si="7"/>
        <v>مكتمل</v>
      </c>
      <c r="J19" s="10">
        <f t="shared" ca="1" si="8"/>
        <v>-21</v>
      </c>
      <c r="K19" s="10" t="str">
        <f t="shared" ca="1" si="9"/>
        <v>لا</v>
      </c>
      <c r="L19" s="10" t="str">
        <f t="shared" si="10"/>
        <v>قيد المراجعة</v>
      </c>
      <c r="M19" s="16">
        <f t="shared" si="11"/>
        <v>46254</v>
      </c>
      <c r="O19">
        <f t="shared" si="12"/>
        <v>9999</v>
      </c>
    </row>
    <row r="20" spans="1:15" ht="34" customHeight="1" x14ac:dyDescent="0.3">
      <c r="A20" s="10" t="str">
        <f t="shared" si="0"/>
        <v>ACT-016</v>
      </c>
      <c r="B20" s="11">
        <v>22</v>
      </c>
      <c r="C20" s="12" t="str">
        <f t="shared" si="1"/>
        <v>تم اقتناء النسخة الرسمية، ولم يبدأ برنامج التدريب الداخلي بعد.</v>
      </c>
      <c r="D20" s="10" t="str">
        <f t="shared" si="2"/>
        <v>رئيسي</v>
      </c>
      <c r="E20" s="10" t="str">
        <f t="shared" si="3"/>
        <v>عالية</v>
      </c>
      <c r="F20" s="12" t="str">
        <f t="shared" si="4"/>
        <v>إطلاق برنامج تدريب داخلي على متطلبات النسخة المحدّثة لكل المعنيين.</v>
      </c>
      <c r="G20" s="10" t="str">
        <f t="shared" si="5"/>
        <v>مدير الجودة</v>
      </c>
      <c r="H20" s="16">
        <f t="shared" si="6"/>
        <v>46295</v>
      </c>
      <c r="I20" s="10" t="str">
        <f t="shared" si="7"/>
        <v>قيد التنفيذ</v>
      </c>
      <c r="J20" s="10">
        <f t="shared" ca="1" si="8"/>
        <v>25</v>
      </c>
      <c r="K20" s="10" t="str">
        <f t="shared" ca="1" si="9"/>
        <v>لا</v>
      </c>
      <c r="L20" s="10" t="str">
        <f t="shared" si="10"/>
        <v>لا</v>
      </c>
      <c r="M20" s="16" t="str">
        <f t="shared" si="11"/>
        <v/>
      </c>
      <c r="O20">
        <f t="shared" si="12"/>
        <v>20</v>
      </c>
    </row>
    <row r="21" spans="1:15" ht="34" customHeight="1" x14ac:dyDescent="0.3">
      <c r="A21" s="10" t="str">
        <f t="shared" si="0"/>
        <v>ACT-017</v>
      </c>
      <c r="B21" s="11">
        <v>23</v>
      </c>
      <c r="C21" s="12" t="str">
        <f t="shared" si="1"/>
        <v>تم التواصل الأولي مع مركز الاعتماد؛ خطة الانتقال التفصيلية الداخلية لم تُعتمد رسميًا بعد.</v>
      </c>
      <c r="D21" s="10" t="str">
        <f t="shared" si="2"/>
        <v>رئيسي</v>
      </c>
      <c r="E21" s="10" t="str">
        <f t="shared" si="3"/>
        <v>عالية</v>
      </c>
      <c r="F21" s="12" t="str">
        <f t="shared" si="4"/>
        <v>اعتماد خطة انتقال داخلية تفصيلية ومشاركتها مع مركز الاعتماد.</v>
      </c>
      <c r="G21" s="10" t="str">
        <f t="shared" si="5"/>
        <v>مدير الجودة</v>
      </c>
      <c r="H21" s="16">
        <f t="shared" si="6"/>
        <v>46235</v>
      </c>
      <c r="I21" s="10" t="str">
        <f t="shared" si="7"/>
        <v>تم التحقق من الإغلاق</v>
      </c>
      <c r="J21" s="10">
        <f t="shared" ca="1" si="8"/>
        <v>-35</v>
      </c>
      <c r="K21" s="10" t="str">
        <f t="shared" ca="1" si="9"/>
        <v>لا</v>
      </c>
      <c r="L21" s="10" t="str">
        <f t="shared" si="10"/>
        <v>نعم</v>
      </c>
      <c r="M21" s="16">
        <f t="shared" si="11"/>
        <v>46244</v>
      </c>
      <c r="O21">
        <f t="shared" si="12"/>
        <v>21</v>
      </c>
    </row>
    <row r="22" spans="1:15" ht="34" customHeight="1" x14ac:dyDescent="0.3">
      <c r="A22" s="10" t="str">
        <f t="shared" si="0"/>
        <v>ACT-018</v>
      </c>
      <c r="B22" s="11">
        <v>24</v>
      </c>
      <c r="C22" s="12" t="str">
        <f t="shared" si="1"/>
        <v>لا توجد آلية رسمية تربط التغييرات التنظيمية بإعادة تقييم التصنيف؛ المراجعة تتم بشكل عرضي غير موثّق.</v>
      </c>
      <c r="D22" s="10" t="str">
        <f t="shared" si="2"/>
        <v>ثانوي</v>
      </c>
      <c r="E22" s="10" t="str">
        <f t="shared" si="3"/>
        <v>متوسطة</v>
      </c>
      <c r="F22" s="12" t="str">
        <f t="shared" si="4"/>
        <v>توثيق آلية رسمية لإعادة تقييم التصنيف عند أي تغيير جوهري وربطها بإجراء التحكم بالتغيير.</v>
      </c>
      <c r="G22" s="10" t="str">
        <f t="shared" si="5"/>
        <v>مدير الجودة</v>
      </c>
      <c r="H22" s="16">
        <f t="shared" si="6"/>
        <v>46376</v>
      </c>
      <c r="I22" s="10" t="str">
        <f t="shared" si="7"/>
        <v>لم يبدأ</v>
      </c>
      <c r="J22" s="10">
        <f t="shared" ca="1" si="8"/>
        <v>106</v>
      </c>
      <c r="K22" s="10" t="str">
        <f t="shared" ca="1" si="9"/>
        <v>لا</v>
      </c>
      <c r="L22" s="10" t="str">
        <f t="shared" si="10"/>
        <v>لا</v>
      </c>
      <c r="M22" s="16" t="str">
        <f t="shared" si="11"/>
        <v/>
      </c>
      <c r="O22">
        <f t="shared" si="12"/>
        <v>9999</v>
      </c>
    </row>
    <row r="23" spans="1:15" ht="34" customHeight="1" x14ac:dyDescent="0.3">
      <c r="A23" s="10" t="str">
        <f t="shared" si="0"/>
        <v>ACT-019</v>
      </c>
      <c r="B23" s="11">
        <v>25</v>
      </c>
      <c r="C23" s="12" t="str">
        <f t="shared" si="1"/>
        <v>التقييم الحالي عام على مستوى الجهة ولا يفصّل الاحتمالية والأثر لكل مصدر تهديد.</v>
      </c>
      <c r="D23" s="10" t="str">
        <f t="shared" si="2"/>
        <v>رئيسي</v>
      </c>
      <c r="E23" s="10" t="str">
        <f t="shared" si="3"/>
        <v>متوسطة</v>
      </c>
      <c r="F23" s="12" t="str">
        <f t="shared" si="4"/>
        <v>تطوير مصفوفة احتمالية × أثر مفصّلة لكل مصدر تهديد للحياد وربطها بخطط استجابة.</v>
      </c>
      <c r="G23" s="10" t="str">
        <f t="shared" si="5"/>
        <v>مسؤول الحياد</v>
      </c>
      <c r="H23" s="16">
        <f t="shared" si="6"/>
        <v>46259</v>
      </c>
      <c r="I23" s="10" t="str">
        <f t="shared" si="7"/>
        <v>متأخر</v>
      </c>
      <c r="J23" s="10">
        <f t="shared" ca="1" si="8"/>
        <v>-11</v>
      </c>
      <c r="K23" s="10" t="str">
        <f t="shared" ca="1" si="9"/>
        <v>نعم</v>
      </c>
      <c r="L23" s="10" t="str">
        <f t="shared" si="10"/>
        <v>لا</v>
      </c>
      <c r="M23" s="16" t="str">
        <f t="shared" si="11"/>
        <v/>
      </c>
      <c r="O23">
        <f t="shared" si="12"/>
        <v>9999</v>
      </c>
    </row>
    <row r="24" spans="1:15" ht="34" customHeight="1" x14ac:dyDescent="0.3">
      <c r="A24" s="10" t="str">
        <f t="shared" si="0"/>
        <v>ACT-020</v>
      </c>
      <c r="B24" s="11">
        <v>26</v>
      </c>
      <c r="C24" s="12" t="str">
        <f t="shared" si="1"/>
        <v>سجل المخاطر يفتقر لمؤشرات أداء كمية لمتابعة فعالية خطط الاستجابة.</v>
      </c>
      <c r="D24" s="10" t="str">
        <f t="shared" si="2"/>
        <v>ثانوي</v>
      </c>
      <c r="E24" s="10" t="str">
        <f t="shared" si="3"/>
        <v>منخفضة</v>
      </c>
      <c r="F24" s="12" t="str">
        <f t="shared" si="4"/>
        <v>تحديد مؤشرات أداء قابلة للقياس لأهم 5 مخاطر في السجل ومتابعتها ربع سنويًا.</v>
      </c>
      <c r="G24" s="10" t="str">
        <f t="shared" si="5"/>
        <v>مدير الجودة</v>
      </c>
      <c r="H24" s="16">
        <f t="shared" si="6"/>
        <v>46418</v>
      </c>
      <c r="I24" s="10" t="str">
        <f t="shared" si="7"/>
        <v>لم يبدأ</v>
      </c>
      <c r="J24" s="10">
        <f t="shared" ca="1" si="8"/>
        <v>148</v>
      </c>
      <c r="K24" s="10" t="str">
        <f t="shared" ca="1" si="9"/>
        <v>لا</v>
      </c>
      <c r="L24" s="10" t="str">
        <f t="shared" si="10"/>
        <v>لا</v>
      </c>
      <c r="M24" s="16" t="str">
        <f t="shared" si="11"/>
        <v/>
      </c>
      <c r="O24">
        <f t="shared" si="12"/>
        <v>9999</v>
      </c>
    </row>
    <row r="25" spans="1:15" ht="34" customHeight="1" x14ac:dyDescent="0.3">
      <c r="A25" s="10" t="str">
        <f t="shared" si="0"/>
        <v>ACT-021</v>
      </c>
      <c r="B25" s="11">
        <v>27</v>
      </c>
      <c r="C25" s="12" t="str">
        <f t="shared" si="1"/>
        <v>لا توجد خطة إحلال موثّقة للأدوار الحرجة؛ الاعتماد حاليًا على أفراد بعينهم دون بديل مؤهَّل موثّق.</v>
      </c>
      <c r="D25" s="10" t="str">
        <f t="shared" si="2"/>
        <v>رئيسي</v>
      </c>
      <c r="E25" s="10" t="str">
        <f t="shared" si="3"/>
        <v>عالية</v>
      </c>
      <c r="F25" s="12" t="str">
        <f t="shared" si="4"/>
        <v>إعداد خطة إحلال موثّقة للأدوار الحرجة واعتمادها من الإدارة العليا.</v>
      </c>
      <c r="G25" s="10" t="str">
        <f t="shared" si="5"/>
        <v>مسؤول الموارد البشرية</v>
      </c>
      <c r="H25" s="16">
        <f t="shared" si="6"/>
        <v>46252</v>
      </c>
      <c r="I25" s="10" t="str">
        <f t="shared" si="7"/>
        <v>متأخر</v>
      </c>
      <c r="J25" s="10">
        <f t="shared" ca="1" si="8"/>
        <v>-18</v>
      </c>
      <c r="K25" s="10" t="str">
        <f t="shared" ca="1" si="9"/>
        <v>نعم</v>
      </c>
      <c r="L25" s="10" t="str">
        <f t="shared" si="10"/>
        <v>لا</v>
      </c>
      <c r="M25" s="16" t="str">
        <f t="shared" si="11"/>
        <v/>
      </c>
      <c r="O25">
        <f t="shared" si="12"/>
        <v>25</v>
      </c>
    </row>
    <row r="26" spans="1:15" ht="34" customHeight="1" x14ac:dyDescent="0.3">
      <c r="A26" s="10" t="str">
        <f t="shared" si="0"/>
        <v>ACT-022</v>
      </c>
      <c r="B26" s="11">
        <v>28</v>
      </c>
      <c r="C26" s="12" t="str">
        <f t="shared" si="1"/>
        <v>التعامل مع الحالات الحدّية متروك للتقدير الشخصي للمفتش دون معايير موثّقة كافية.</v>
      </c>
      <c r="D26" s="10" t="str">
        <f t="shared" si="2"/>
        <v>رئيسي</v>
      </c>
      <c r="E26" s="10" t="str">
        <f t="shared" si="3"/>
        <v>متوسطة</v>
      </c>
      <c r="F26" s="12" t="str">
        <f t="shared" si="4"/>
        <v>توثيق ملحق فني بمعايير اتخاذ القرار في الحالات الحدّية وتدريب المفتشين عليه.</v>
      </c>
      <c r="G26" s="10" t="str">
        <f t="shared" si="5"/>
        <v>مدير الجودة</v>
      </c>
      <c r="H26" s="16">
        <f t="shared" si="6"/>
        <v>46331</v>
      </c>
      <c r="I26" s="10" t="str">
        <f t="shared" si="7"/>
        <v>قيد التنفيذ</v>
      </c>
      <c r="J26" s="10">
        <f t="shared" ca="1" si="8"/>
        <v>61</v>
      </c>
      <c r="K26" s="10" t="str">
        <f t="shared" ca="1" si="9"/>
        <v>لا</v>
      </c>
      <c r="L26" s="10" t="str">
        <f t="shared" si="10"/>
        <v>لا</v>
      </c>
      <c r="M26" s="16" t="str">
        <f t="shared" si="11"/>
        <v/>
      </c>
      <c r="O26">
        <f t="shared" si="12"/>
        <v>9999</v>
      </c>
    </row>
    <row r="27" spans="1:15" ht="34" customHeight="1" x14ac:dyDescent="0.3">
      <c r="A27" s="10" t="str">
        <f t="shared" si="0"/>
        <v>ACT-023</v>
      </c>
      <c r="B27" s="11">
        <v>30</v>
      </c>
      <c r="C27" s="12" t="str">
        <f t="shared" si="1"/>
        <v>النسخ الاحتياطي يتم تلقائيًا عبر النظام لكن لا يوجد سجل اختبار استعادة دوري موثّق.</v>
      </c>
      <c r="D27" s="10" t="str">
        <f t="shared" si="2"/>
        <v>رئيسي</v>
      </c>
      <c r="E27" s="10" t="str">
        <f t="shared" si="3"/>
        <v>عالية</v>
      </c>
      <c r="F27" s="12" t="str">
        <f t="shared" si="4"/>
        <v>توثيق وتنفيذ اختبار استعادة نصف سنوي للنسخ الاحتياطية وتسجيل النتائج.</v>
      </c>
      <c r="G27" s="10" t="str">
        <f t="shared" si="5"/>
        <v>مسؤول تقنية المعلومات</v>
      </c>
      <c r="H27" s="16">
        <f t="shared" si="6"/>
        <v>46320</v>
      </c>
      <c r="I27" s="10" t="str">
        <f t="shared" si="7"/>
        <v>قيد التنفيذ</v>
      </c>
      <c r="J27" s="10">
        <f t="shared" ca="1" si="8"/>
        <v>50</v>
      </c>
      <c r="K27" s="10" t="str">
        <f t="shared" ca="1" si="9"/>
        <v>لا</v>
      </c>
      <c r="L27" s="10" t="str">
        <f t="shared" si="10"/>
        <v>لا</v>
      </c>
      <c r="M27" s="16" t="str">
        <f t="shared" si="11"/>
        <v/>
      </c>
      <c r="O27">
        <f t="shared" si="12"/>
        <v>27</v>
      </c>
    </row>
    <row r="28" spans="1:15" ht="34" customHeight="1" x14ac:dyDescent="0.3">
      <c r="A28" s="10" t="str">
        <f t="shared" si="0"/>
        <v>ACT-024</v>
      </c>
      <c r="B28" s="11">
        <v>32</v>
      </c>
      <c r="C28" s="12" t="str">
        <f t="shared" si="1"/>
        <v>لا يوجد قياس منهجي لرضا العملاء؛ التغذية الراجعة تصل بشكل غير رسمي فقط عبر الشكاوى.</v>
      </c>
      <c r="D28" s="10" t="str">
        <f t="shared" si="2"/>
        <v>ثانوي</v>
      </c>
      <c r="E28" s="10" t="str">
        <f t="shared" si="3"/>
        <v>متوسطة</v>
      </c>
      <c r="F28" s="12" t="str">
        <f t="shared" si="4"/>
        <v>تصميم وإطلاق استبيان رضا عملاء نصف سنوي وربط نتائجه بمراجعة الإدارة.</v>
      </c>
      <c r="G28" s="10" t="str">
        <f t="shared" si="5"/>
        <v>مدير الجودة</v>
      </c>
      <c r="H28" s="16">
        <f t="shared" si="6"/>
        <v>46357</v>
      </c>
      <c r="I28" s="10" t="str">
        <f t="shared" si="7"/>
        <v>لم يبدأ</v>
      </c>
      <c r="J28" s="10">
        <f t="shared" ca="1" si="8"/>
        <v>87</v>
      </c>
      <c r="K28" s="10" t="str">
        <f t="shared" ca="1" si="9"/>
        <v>لا</v>
      </c>
      <c r="L28" s="10" t="str">
        <f t="shared" si="10"/>
        <v>لا</v>
      </c>
      <c r="M28" s="16" t="str">
        <f t="shared" si="11"/>
        <v/>
      </c>
      <c r="O28">
        <f t="shared" si="12"/>
        <v>9999</v>
      </c>
    </row>
    <row r="29" spans="1:15" ht="34" customHeight="1" x14ac:dyDescent="0.3">
      <c r="A29" s="10" t="str">
        <f t="shared" si="0"/>
        <v>ACT-025</v>
      </c>
      <c r="B29" s="11">
        <v>33</v>
      </c>
      <c r="C29" s="12" t="str">
        <f t="shared" si="1"/>
        <v>مسار التصعيد البديل عند تعارض المصالح مذكور بشكل عام دون تفصيل الآلية العملية.</v>
      </c>
      <c r="D29" s="10" t="str">
        <f t="shared" si="2"/>
        <v>ثانوي</v>
      </c>
      <c r="E29" s="10" t="str">
        <f t="shared" si="3"/>
        <v>منخفضة</v>
      </c>
      <c r="F29" s="12" t="str">
        <f t="shared" si="4"/>
        <v>تفصيل آلية التصعيد البديل لحالات تعارض المصالح ضمن إجراء الشكاوى والتظلمات.</v>
      </c>
      <c r="G29" s="10" t="str">
        <f t="shared" si="5"/>
        <v>مدير الجودة</v>
      </c>
      <c r="H29" s="16">
        <f t="shared" si="6"/>
        <v>46402</v>
      </c>
      <c r="I29" s="10" t="str">
        <f t="shared" si="7"/>
        <v>لم يبدأ</v>
      </c>
      <c r="J29" s="10">
        <f t="shared" ca="1" si="8"/>
        <v>132</v>
      </c>
      <c r="K29" s="10" t="str">
        <f t="shared" ca="1" si="9"/>
        <v>لا</v>
      </c>
      <c r="L29" s="10" t="str">
        <f t="shared" si="10"/>
        <v>لا</v>
      </c>
      <c r="M29" s="16" t="str">
        <f t="shared" si="11"/>
        <v/>
      </c>
      <c r="O29">
        <f t="shared" si="12"/>
        <v>9999</v>
      </c>
    </row>
    <row r="30" spans="1:15" ht="34" customHeight="1" x14ac:dyDescent="0.3">
      <c r="A30" s="10" t="str">
        <f t="shared" si="0"/>
        <v>ACT-026</v>
      </c>
      <c r="B30" s="11">
        <v>34</v>
      </c>
      <c r="C30" s="12" t="str">
        <f t="shared" si="1"/>
        <v>توثيق المعرفة التنظيمية يتم بشكل غير منتظم ويعتمد على مبادرات فردية.</v>
      </c>
      <c r="D30" s="10" t="str">
        <f t="shared" si="2"/>
        <v>ملاحظة</v>
      </c>
      <c r="E30" s="10" t="str">
        <f t="shared" si="3"/>
        <v>منخفضة</v>
      </c>
      <c r="F30" s="12" t="str">
        <f t="shared" si="4"/>
        <v>بناء مستودع مركزي موثّق للمعرفة التنظيمية الحرجة وتحديثه دوريًا.</v>
      </c>
      <c r="G30" s="10" t="str">
        <f t="shared" si="5"/>
        <v>مدير الجودة</v>
      </c>
      <c r="H30" s="16">
        <f t="shared" si="6"/>
        <v>46246</v>
      </c>
      <c r="I30" s="10" t="str">
        <f t="shared" si="7"/>
        <v>مكتمل</v>
      </c>
      <c r="J30" s="10">
        <f t="shared" ca="1" si="8"/>
        <v>-24</v>
      </c>
      <c r="K30" s="10" t="str">
        <f t="shared" ca="1" si="9"/>
        <v>لا</v>
      </c>
      <c r="L30" s="10" t="str">
        <f t="shared" si="10"/>
        <v>نعم</v>
      </c>
      <c r="M30" s="16">
        <f t="shared" si="11"/>
        <v>46256</v>
      </c>
      <c r="O30">
        <f t="shared" si="12"/>
        <v>9999</v>
      </c>
    </row>
    <row r="31" spans="1:15" ht="34" customHeight="1" x14ac:dyDescent="0.3">
      <c r="A31" s="10" t="str">
        <f t="shared" si="0"/>
        <v>ACT-027</v>
      </c>
      <c r="B31" s="11">
        <v>35</v>
      </c>
      <c r="C31" s="12" t="str">
        <f t="shared" si="1"/>
        <v>لم يُجرَ بعد تقييم ذاتي شامل ومكتمل وفق جميع بنود النسخة المحدَّثة.</v>
      </c>
      <c r="D31" s="10" t="str">
        <f t="shared" si="2"/>
        <v>رئيسي</v>
      </c>
      <c r="E31" s="10" t="str">
        <f t="shared" si="3"/>
        <v>عالية</v>
      </c>
      <c r="F31" s="12" t="str">
        <f t="shared" si="4"/>
        <v>استكمال التقييم الذاتي الشامل عبر هذه الأداة وتوثيق النتيجة النهائية قبل طلب زيارة التقييم.</v>
      </c>
      <c r="G31" s="10" t="str">
        <f t="shared" si="5"/>
        <v>مدير الجودة</v>
      </c>
      <c r="H31" s="16">
        <f t="shared" si="6"/>
        <v>46262</v>
      </c>
      <c r="I31" s="10" t="str">
        <f t="shared" si="7"/>
        <v>متأخر</v>
      </c>
      <c r="J31" s="10">
        <f t="shared" ca="1" si="8"/>
        <v>-8</v>
      </c>
      <c r="K31" s="10" t="str">
        <f t="shared" ca="1" si="9"/>
        <v>نعم</v>
      </c>
      <c r="L31" s="10" t="str">
        <f t="shared" si="10"/>
        <v>لا</v>
      </c>
      <c r="M31" s="16" t="str">
        <f t="shared" si="11"/>
        <v/>
      </c>
      <c r="O31">
        <f t="shared" si="12"/>
        <v>31</v>
      </c>
    </row>
    <row r="34" spans="1:13" ht="16" customHeight="1" x14ac:dyDescent="0.3">
      <c r="A34" s="45" t="s">
        <v>20</v>
      </c>
      <c r="B34" s="39"/>
      <c r="C34" s="39"/>
      <c r="D34" s="39"/>
      <c r="E34" s="39"/>
      <c r="F34" s="39"/>
      <c r="G34" s="39"/>
      <c r="H34" s="39"/>
      <c r="I34" s="39"/>
      <c r="J34" s="39"/>
      <c r="K34" s="39"/>
      <c r="L34" s="39"/>
      <c r="M34" s="39"/>
    </row>
  </sheetData>
  <sheetProtection formatCells="0" formatColumns="0" formatRows="0"/>
  <mergeCells count="3">
    <mergeCell ref="A34:M34"/>
    <mergeCell ref="A2:M2"/>
    <mergeCell ref="A1:M1"/>
  </mergeCells>
  <conditionalFormatting sqref="D5:D31">
    <cfRule type="cellIs" dxfId="12" priority="8" operator="equal">
      <formula>"حرج"</formula>
    </cfRule>
    <cfRule type="cellIs" dxfId="11" priority="9" operator="equal">
      <formula>"رئيسي"</formula>
    </cfRule>
    <cfRule type="cellIs" dxfId="10" priority="10" operator="equal">
      <formula>"ثانوي"</formula>
    </cfRule>
  </conditionalFormatting>
  <conditionalFormatting sqref="I5:I31">
    <cfRule type="cellIs" dxfId="9" priority="1" operator="equal">
      <formula>"لم يبدأ"</formula>
    </cfRule>
    <cfRule type="cellIs" dxfId="8" priority="2" operator="equal">
      <formula>"قيد التنفيذ"</formula>
    </cfRule>
    <cfRule type="cellIs" dxfId="7" priority="3" operator="equal">
      <formula>"مكتمل"</formula>
    </cfRule>
    <cfRule type="cellIs" dxfId="6" priority="4" operator="equal">
      <formula>"متأخر"</formula>
    </cfRule>
    <cfRule type="cellIs" dxfId="5" priority="5" operator="equal">
      <formula>"تم التحقق من الإغلاق"</formula>
    </cfRule>
  </conditionalFormatting>
  <conditionalFormatting sqref="K5:K31">
    <cfRule type="cellIs" dxfId="4" priority="6" operator="equal">
      <formula>"نعم"</formula>
    </cfRule>
    <cfRule type="cellIs" dxfId="3" priority="7" operator="equal">
      <formula>"لا"</formula>
    </cfRule>
  </conditionalFormatting>
  <dataValidations count="1">
    <dataValidation type="list" allowBlank="1" showErrorMessage="1" errorTitle="رقم متطلب غير صحيح" error="اختاري رقم متطلب موجود في شيت تحليل الفجوات" sqref="B5:B31" xr:uid="{00000000-0002-0000-0500-000000000000}">
      <formula1>GapNumber</formula1>
    </dataValidation>
  </dataValidations>
  <hyperlinks>
    <hyperlink ref="A34" r:id="rId1" xr:uid="{00000000-0004-0000-0500-000000000000}"/>
  </hyperlinks>
  <pageMargins left="0.35" right="0.35" top="0.5" bottom="0.5" header="0.2" footer="0.2"/>
  <pageSetup fitToHeight="0" orientation="landscape"/>
  <headerFooter>
    <oddFooter>&amp;C&amp;8 &amp;K808080امتثال Imtithal.store — أداة تحليل فجوات ISO/IEC 17020:2026 (بيانات تجريبية DEMO حيث وردت) — صفحة &amp;P من &amp;N</oddFooter>
  </headerFooter>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B1220"/>
    <pageSetUpPr fitToPage="1"/>
  </sheetPr>
  <dimension ref="A1:G37"/>
  <sheetViews>
    <sheetView showGridLines="0" rightToLeft="1" workbookViewId="0">
      <selection sqref="A1:F1"/>
    </sheetView>
  </sheetViews>
  <sheetFormatPr defaultRowHeight="14" x14ac:dyDescent="0.3"/>
  <cols>
    <col min="1" max="1" width="22" customWidth="1"/>
    <col min="2" max="7" width="15" customWidth="1"/>
  </cols>
  <sheetData>
    <row r="1" spans="1:7" ht="30" customHeight="1" x14ac:dyDescent="0.3">
      <c r="A1" s="47" t="s">
        <v>424</v>
      </c>
      <c r="B1" s="35"/>
      <c r="C1" s="35"/>
      <c r="D1" s="35"/>
      <c r="E1" s="35"/>
      <c r="F1" s="35"/>
      <c r="G1" s="1"/>
    </row>
    <row r="2" spans="1:7" ht="18" customHeight="1" x14ac:dyDescent="0.3">
      <c r="A2" s="49" t="s">
        <v>425</v>
      </c>
      <c r="B2" s="50"/>
      <c r="C2" s="50"/>
      <c r="D2" s="50"/>
      <c r="E2" s="50"/>
      <c r="F2" s="50"/>
      <c r="G2" s="5"/>
    </row>
    <row r="4" spans="1:7" ht="20" customHeight="1" x14ac:dyDescent="0.3">
      <c r="A4" s="55" t="s">
        <v>426</v>
      </c>
      <c r="B4" s="39"/>
      <c r="C4" s="39"/>
      <c r="D4" s="39"/>
      <c r="E4" s="39"/>
      <c r="F4" s="39"/>
    </row>
    <row r="5" spans="1:7" ht="18" customHeight="1" x14ac:dyDescent="0.3">
      <c r="A5" s="17" t="s">
        <v>48</v>
      </c>
      <c r="B5" s="54" t="str">
        <f>OrgName</f>
        <v>شركة المسار السعودي للتفتيش الفني (DEMO – بيانات تجريبية)</v>
      </c>
      <c r="C5" s="39"/>
      <c r="D5" s="39"/>
      <c r="E5" s="39"/>
      <c r="F5" s="39"/>
    </row>
    <row r="6" spans="1:7" ht="18" customHeight="1" x14ac:dyDescent="0.3">
      <c r="A6" s="17" t="s">
        <v>50</v>
      </c>
      <c r="B6" s="54" t="str">
        <f>OrgType</f>
        <v>النوع A – طرف ثالث محايد ومستقل</v>
      </c>
      <c r="C6" s="39"/>
      <c r="D6" s="39"/>
      <c r="E6" s="39"/>
      <c r="F6" s="39"/>
    </row>
    <row r="7" spans="1:7" ht="18" customHeight="1" x14ac:dyDescent="0.3">
      <c r="A7" s="17" t="s">
        <v>54</v>
      </c>
      <c r="B7" s="58">
        <f>OrgAssessDate</f>
        <v>46264</v>
      </c>
      <c r="C7" s="39"/>
      <c r="D7" s="39"/>
      <c r="E7" s="39"/>
      <c r="F7" s="39"/>
    </row>
    <row r="8" spans="1:7" ht="18" customHeight="1" x14ac:dyDescent="0.3">
      <c r="A8" s="17" t="s">
        <v>427</v>
      </c>
      <c r="B8" s="54" t="str">
        <f>OrgAssessor</f>
        <v>م. نورة القحطاني (تجريبي)</v>
      </c>
      <c r="C8" s="39"/>
      <c r="D8" s="39"/>
      <c r="E8" s="39"/>
      <c r="F8" s="39"/>
    </row>
    <row r="9" spans="1:7" ht="18" customHeight="1" x14ac:dyDescent="0.3">
      <c r="A9" s="17" t="s">
        <v>59</v>
      </c>
      <c r="B9" s="54" t="str">
        <f>OrgAB</f>
        <v>المركز السعودي للاعتماد (SAC)</v>
      </c>
      <c r="C9" s="39"/>
      <c r="D9" s="39"/>
      <c r="E9" s="39"/>
      <c r="F9" s="39"/>
    </row>
    <row r="10" spans="1:7" ht="18" customHeight="1" x14ac:dyDescent="0.3">
      <c r="A10" s="17" t="s">
        <v>61</v>
      </c>
      <c r="B10" s="54" t="str">
        <f>OrgScope</f>
        <v>تفتيش المنشآت الصناعية ومعدات الرفع والأوعية تحت الضغط</v>
      </c>
      <c r="C10" s="39"/>
      <c r="D10" s="39"/>
      <c r="E10" s="39"/>
      <c r="F10" s="39"/>
    </row>
    <row r="11" spans="1:7" ht="18" customHeight="1" x14ac:dyDescent="0.3">
      <c r="A11" s="17" t="s">
        <v>63</v>
      </c>
      <c r="B11" s="54" t="str">
        <f>OrgCurrentVer</f>
        <v>ISO/IEC 17020:2012</v>
      </c>
      <c r="C11" s="39"/>
      <c r="D11" s="39"/>
      <c r="E11" s="39"/>
      <c r="F11" s="39"/>
    </row>
    <row r="12" spans="1:7" ht="18" customHeight="1" x14ac:dyDescent="0.3">
      <c r="A12" s="17" t="s">
        <v>65</v>
      </c>
      <c r="B12" s="54" t="str">
        <f>OrgTargetVer</f>
        <v>ISO/IEC 17020:2026</v>
      </c>
      <c r="C12" s="39"/>
      <c r="D12" s="39"/>
      <c r="E12" s="39"/>
      <c r="F12" s="39"/>
    </row>
    <row r="13" spans="1:7" ht="20" customHeight="1" x14ac:dyDescent="0.3">
      <c r="A13" s="55" t="s">
        <v>428</v>
      </c>
      <c r="B13" s="39"/>
      <c r="C13" s="39"/>
      <c r="D13" s="39"/>
      <c r="E13" s="39"/>
      <c r="F13" s="39"/>
    </row>
    <row r="14" spans="1:7" ht="18" customHeight="1" x14ac:dyDescent="0.3">
      <c r="A14" s="17" t="s">
        <v>429</v>
      </c>
      <c r="B14" s="59">
        <f>KPI_ReadinessPct</f>
        <v>0.45588235294117646</v>
      </c>
      <c r="C14" s="39"/>
      <c r="D14" s="39"/>
      <c r="E14" s="39"/>
      <c r="F14" s="39"/>
    </row>
    <row r="15" spans="1:7" ht="18" customHeight="1" x14ac:dyDescent="0.3">
      <c r="A15" s="17" t="s">
        <v>430</v>
      </c>
      <c r="B15" s="59">
        <f>KPI_EvidencePct</f>
        <v>0.48529411764705882</v>
      </c>
      <c r="C15" s="39"/>
      <c r="D15" s="39"/>
      <c r="E15" s="39"/>
      <c r="F15" s="39"/>
    </row>
    <row r="16" spans="1:7" ht="18" customHeight="1" x14ac:dyDescent="0.3">
      <c r="A16" s="17" t="s">
        <v>421</v>
      </c>
      <c r="B16" s="57">
        <f>KPI_Critical</f>
        <v>2</v>
      </c>
      <c r="C16" s="39"/>
      <c r="D16" s="39"/>
      <c r="E16" s="39"/>
      <c r="F16" s="39"/>
    </row>
    <row r="17" spans="1:6" ht="18" customHeight="1" x14ac:dyDescent="0.3">
      <c r="A17" s="17" t="s">
        <v>431</v>
      </c>
      <c r="B17" s="57">
        <f>KPI_Major</f>
        <v>13</v>
      </c>
      <c r="C17" s="39"/>
      <c r="D17" s="39"/>
      <c r="E17" s="39"/>
      <c r="F17" s="39"/>
    </row>
    <row r="18" spans="1:6" ht="18" customHeight="1" x14ac:dyDescent="0.3">
      <c r="A18" s="17" t="s">
        <v>422</v>
      </c>
      <c r="B18" s="57">
        <f>KPI_OpenActions</f>
        <v>20</v>
      </c>
      <c r="C18" s="39"/>
      <c r="D18" s="39"/>
      <c r="E18" s="39"/>
      <c r="F18" s="39"/>
    </row>
    <row r="19" spans="1:6" ht="18" customHeight="1" x14ac:dyDescent="0.3">
      <c r="A19" s="17" t="s">
        <v>423</v>
      </c>
      <c r="B19" s="57">
        <f>KPI_OverdueActions</f>
        <v>4</v>
      </c>
      <c r="C19" s="39"/>
      <c r="D19" s="39"/>
      <c r="E19" s="39"/>
      <c r="F19" s="39"/>
    </row>
    <row r="20" spans="1:6" ht="20" customHeight="1" x14ac:dyDescent="0.3">
      <c r="A20" s="55" t="s">
        <v>432</v>
      </c>
      <c r="B20" s="39"/>
      <c r="C20" s="39"/>
      <c r="D20" s="39"/>
      <c r="E20" s="39"/>
      <c r="F20" s="39"/>
    </row>
    <row r="21" spans="1:6" ht="18" customHeight="1" x14ac:dyDescent="0.3">
      <c r="A21" s="17" t="s">
        <v>433</v>
      </c>
      <c r="B21" s="54" t="str">
        <f>IF(SMALL(APRank,1)=9999,"— لا يوجد —","متطلب #"&amp;INDEX('06_خطة الإجراءات'!$B:$B,SMALL(APRank,1))&amp;" — "&amp;INDEX('06_خطة الإجراءات'!$F:$F,SMALL(APRank,1)))</f>
        <v>متطلب #1 — استكمال توثيق واعتماد قرار التصنيف رسميًا من الإدارة العليا.</v>
      </c>
      <c r="C21" s="39"/>
      <c r="D21" s="39"/>
      <c r="E21" s="39"/>
      <c r="F21" s="39"/>
    </row>
    <row r="22" spans="1:6" ht="18" customHeight="1" x14ac:dyDescent="0.3">
      <c r="A22" s="17" t="s">
        <v>434</v>
      </c>
      <c r="B22" s="54" t="str">
        <f>IF(SMALL(APRank,2)=9999,"— لا يوجد —","متطلب #"&amp;INDEX('06_خطة الإجراءات'!$B:$B,SMALL(APRank,2))&amp;" — "&amp;INDEX('06_خطة الإجراءات'!$F:$F,SMALL(APRank,2)))</f>
        <v>متطلب #3 — بناء سجل مخاطر حياد موسّع يغطي العلاقات التنظيمية والاستعانة بمصادر خارجية والضغوط المالية.</v>
      </c>
      <c r="C22" s="39"/>
      <c r="D22" s="39"/>
      <c r="E22" s="39"/>
      <c r="F22" s="39"/>
    </row>
    <row r="23" spans="1:6" ht="18" customHeight="1" x14ac:dyDescent="0.3">
      <c r="A23" s="17" t="s">
        <v>435</v>
      </c>
      <c r="B23" s="54" t="str">
        <f>IF(SMALL(APRank,3)=9999,"— لا يوجد —","متطلب #"&amp;INDEX('06_خطة الإجراءات'!$B:$B,SMALL(APRank,3))&amp;" — "&amp;INDEX('06_خطة الإجراءات'!$F:$F,SMALL(APRank,3)))</f>
        <v>متطلب #5 — توسيع سجل المخاطر والفرص ليشمل المخاطر التشغيلية مع خطط استجابة موثقة.</v>
      </c>
      <c r="C23" s="39"/>
      <c r="D23" s="39"/>
      <c r="E23" s="39"/>
      <c r="F23" s="39"/>
    </row>
    <row r="24" spans="1:6" ht="18" customHeight="1" x14ac:dyDescent="0.3">
      <c r="A24" s="17" t="s">
        <v>436</v>
      </c>
      <c r="B24" s="54" t="str">
        <f>IF(SMALL(APRank,4)=9999,"— لا يوجد —","متطلب #"&amp;INDEX('06_خطة الإجراءات'!$B:$B,SMALL(APRank,4))&amp;" — "&amp;INDEX('06_خطة الإجراءات'!$F:$F,SMALL(APRank,4)))</f>
        <v>متطلب #6 — إعداد منهجية موثّقة لتحليل واحتساب كفاية التغطية التأمينية ومراجعتها سنويًا.</v>
      </c>
      <c r="C24" s="39"/>
      <c r="D24" s="39"/>
      <c r="E24" s="39"/>
      <c r="F24" s="39"/>
    </row>
    <row r="25" spans="1:6" ht="18" customHeight="1" x14ac:dyDescent="0.3">
      <c r="A25" s="17" t="s">
        <v>437</v>
      </c>
      <c r="B25" s="54" t="str">
        <f>IF(SMALL(APRank,5)=9999,"— لا يوجد —","متطلب #"&amp;INDEX('06_خطة الإجراءات'!$B:$B,SMALL(APRank,5))&amp;" — "&amp;INDEX('06_خطة الإجراءات'!$F:$F,SMALL(APRank,5)))</f>
        <v>متطلب #9 — تطوير مصفوفة كفاءة ديناميكية بمؤشرات مراقبة مستمرة.</v>
      </c>
      <c r="C25" s="39"/>
      <c r="D25" s="39"/>
      <c r="E25" s="39"/>
      <c r="F25" s="39"/>
    </row>
    <row r="26" spans="1:6" ht="20" customHeight="1" x14ac:dyDescent="0.3">
      <c r="A26" s="55" t="s">
        <v>438</v>
      </c>
      <c r="B26" s="39"/>
      <c r="C26" s="39"/>
      <c r="D26" s="39"/>
      <c r="E26" s="39"/>
      <c r="F26" s="39"/>
    </row>
    <row r="27" spans="1:6" x14ac:dyDescent="0.3">
      <c r="A27" s="60" t="str">
        <f>IF(KPI_ReadinessPct&gt;=0.9,"جاهزية متقدمة للانتقال",IF(KPI_ReadinessPct&gt;=0.7,"جاهزية جيدة — تحتاج استكمال بعض البنود",IF(KPI_ReadinessPct&gt;=0.4,"قيد التقدم — لا تزال هناك فجوات متوسطة","في المراحل الأولى — فجوات كبيرة تستدعي خطة عمل عاجلة")))&amp;IF(KPI_Critical&gt;0,"  ⚠ تنبيه: توجد فجوات حرجة تستدعي معالجة فورية بصرف النظر عن نسبة الجاهزية.","")</f>
        <v>قيد التقدم — لا تزال هناك فجوات متوسطة  ⚠ تنبيه: توجد فجوات حرجة تستدعي معالجة فورية بصرف النظر عن نسبة الجاهزية.</v>
      </c>
      <c r="B27" s="37"/>
      <c r="C27" s="37"/>
      <c r="D27" s="37"/>
      <c r="E27" s="37"/>
      <c r="F27" s="37"/>
    </row>
    <row r="28" spans="1:6" x14ac:dyDescent="0.3">
      <c r="A28" s="37"/>
      <c r="B28" s="37"/>
      <c r="C28" s="37"/>
      <c r="D28" s="37"/>
      <c r="E28" s="37"/>
      <c r="F28" s="37"/>
    </row>
    <row r="29" spans="1:6" x14ac:dyDescent="0.3">
      <c r="A29" s="37"/>
      <c r="B29" s="37"/>
      <c r="C29" s="37"/>
      <c r="D29" s="37"/>
      <c r="E29" s="37"/>
      <c r="F29" s="37"/>
    </row>
    <row r="30" spans="1:6" ht="20" customHeight="1" x14ac:dyDescent="0.3">
      <c r="A30" s="55" t="s">
        <v>439</v>
      </c>
      <c r="B30" s="39"/>
      <c r="C30" s="39"/>
      <c r="D30" s="39"/>
      <c r="E30" s="39"/>
      <c r="F30" s="39"/>
    </row>
    <row r="31" spans="1:6" x14ac:dyDescent="0.3">
      <c r="A31" s="56" t="str">
        <f>_xlfn.TEXTJOIN(CHAR(10),TRUE,IF(KPI_Critical&gt;0,"1) معالجة الفجوات الحرجة فورًا واعتماد إجراءاتها.",""),IF(KPI_OverdueActions&gt;0,"2) إغلاق الإجراءات المتأخرة ومراجعة أسباب التأخر.",""),"3) استكمال الأدلة الناقصة أو الجزئية الموثّقة في سجل الأدلة.","4) متابعة نسبة الجاهزية شهريًا حتى اكتمال الانتقال قبل "&amp;TEXT(OrgTransitionDate,"yyyy-mm-dd")&amp;".")</f>
        <v>1) معالجة الفجوات الحرجة فورًا واعتماد إجراءاتها.
2) إغلاق الإجراءات المتأخرة ومراجعة أسباب التأخر.
3) استكمال الأدلة الناقصة أو الجزئية الموثّقة في سجل الأدلة.
4) متابعة نسبة الجاهزية شهريًا حتى اكتمال الانتقال قبل 2029-03-27.</v>
      </c>
      <c r="B31" s="37"/>
      <c r="C31" s="37"/>
      <c r="D31" s="37"/>
      <c r="E31" s="37"/>
      <c r="F31" s="37"/>
    </row>
    <row r="32" spans="1:6" x14ac:dyDescent="0.3">
      <c r="A32" s="37"/>
      <c r="B32" s="37"/>
      <c r="C32" s="37"/>
      <c r="D32" s="37"/>
      <c r="E32" s="37"/>
      <c r="F32" s="37"/>
    </row>
    <row r="33" spans="1:6" x14ac:dyDescent="0.3">
      <c r="A33" s="37"/>
      <c r="B33" s="37"/>
      <c r="C33" s="37"/>
      <c r="D33" s="37"/>
      <c r="E33" s="37"/>
      <c r="F33" s="37"/>
    </row>
    <row r="34" spans="1:6" x14ac:dyDescent="0.3">
      <c r="A34" s="37"/>
      <c r="B34" s="37"/>
      <c r="C34" s="37"/>
      <c r="D34" s="37"/>
      <c r="E34" s="37"/>
      <c r="F34" s="37"/>
    </row>
    <row r="37" spans="1:6" ht="16" customHeight="1" x14ac:dyDescent="0.3">
      <c r="A37" s="45" t="s">
        <v>20</v>
      </c>
      <c r="B37" s="39"/>
      <c r="C37" s="39"/>
      <c r="D37" s="39"/>
      <c r="E37" s="39"/>
      <c r="F37" s="39"/>
    </row>
  </sheetData>
  <sheetProtection algorithmName="SHA-512" hashValue="h5O2dE4uO55SZPC/8luPQtbhtKR6CZfqP4OegnggiRxXAP2gIWrr+VN+O8M++vkb7qGHvItlTR1UOaFVBQOsfA==" saltValue="8ZLk77qodPm3u2JjzWwrcw==" spinCount="100000" sheet="1" formatCells="0" formatColumns="0" formatRows="0"/>
  <mergeCells count="29">
    <mergeCell ref="A1:F1"/>
    <mergeCell ref="B5:F5"/>
    <mergeCell ref="A2:F2"/>
    <mergeCell ref="B12:F12"/>
    <mergeCell ref="A27:F29"/>
    <mergeCell ref="B11:F11"/>
    <mergeCell ref="B23:F23"/>
    <mergeCell ref="A4:F4"/>
    <mergeCell ref="B14:F14"/>
    <mergeCell ref="B8:F8"/>
    <mergeCell ref="A20:F20"/>
    <mergeCell ref="B17:F17"/>
    <mergeCell ref="A13:F13"/>
    <mergeCell ref="B10:F10"/>
    <mergeCell ref="B19:F19"/>
    <mergeCell ref="B9:F9"/>
    <mergeCell ref="B6:F6"/>
    <mergeCell ref="B24:F24"/>
    <mergeCell ref="B7:F7"/>
    <mergeCell ref="B16:F16"/>
    <mergeCell ref="B25:F25"/>
    <mergeCell ref="B15:F15"/>
    <mergeCell ref="A37:F37"/>
    <mergeCell ref="B22:F22"/>
    <mergeCell ref="A26:F26"/>
    <mergeCell ref="A31:F34"/>
    <mergeCell ref="B18:F18"/>
    <mergeCell ref="B21:F21"/>
    <mergeCell ref="A30:F30"/>
  </mergeCells>
  <hyperlinks>
    <hyperlink ref="A37" r:id="rId1" xr:uid="{00000000-0004-0000-0700-000000000000}"/>
  </hyperlinks>
  <pageMargins left="0.35" right="0.35" top="0.5" bottom="0.5" header="0.2" footer="0.2"/>
  <pageSetup orientation="portrait"/>
  <headerFooter>
    <oddFooter>&amp;C&amp;8 &amp;K808080امتثال Imtithal.store — أداة تحليل فجوات ISO/IEC 17020:2026 (بيانات تجريبية DEMO حيث وردت) — صفحة &amp;P من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59</vt:i4>
      </vt:variant>
    </vt:vector>
  </HeadingPairs>
  <TitlesOfParts>
    <vt:vector size="72" baseType="lpstr">
      <vt:lpstr>01_مقدمة</vt:lpstr>
      <vt:lpstr>02_دليل الاستخدام</vt:lpstr>
      <vt:lpstr>لوحة_المؤشرات_07</vt:lpstr>
      <vt:lpstr>03_إعدادات المنشأة</vt:lpstr>
      <vt:lpstr>pivot</vt:lpstr>
      <vt:lpstr>04_تحليل الفجوات</vt:lpstr>
      <vt:lpstr>05_سجل الأدلة</vt:lpstr>
      <vt:lpstr>06_خطة الإجراءات</vt:lpstr>
      <vt:lpstr>08_ملخص الإدارة</vt:lpstr>
      <vt:lpstr>09_خارطة الانتقال</vt:lpstr>
      <vt:lpstr>10_البيانات الرئيسية</vt:lpstr>
      <vt:lpstr>11_تقرير QA</vt:lpstr>
      <vt:lpstr>12_دليل PivotTables</vt:lpstr>
      <vt:lpstr>APAction</vt:lpstr>
      <vt:lpstr>APDue</vt:lpstr>
      <vt:lpstr>APOverdue</vt:lpstr>
      <vt:lpstr>APPriority</vt:lpstr>
      <vt:lpstr>APRank</vt:lpstr>
      <vt:lpstr>APReqNo</vt:lpstr>
      <vt:lpstr>APSeverity</vt:lpstr>
      <vt:lpstr>APStatus</vt:lpstr>
      <vt:lpstr>EvidenceStatus</vt:lpstr>
      <vt:lpstr>GapAction</vt:lpstr>
      <vt:lpstr>GapAStatus</vt:lpstr>
      <vt:lpstr>GapCategory</vt:lpstr>
      <vt:lpstr>GapClose</vt:lpstr>
      <vt:lpstr>GapDue</vt:lpstr>
      <vt:lpstr>GapEvidence</vt:lpstr>
      <vt:lpstr>GapEvRef</vt:lpstr>
      <vt:lpstr>GapNote</vt:lpstr>
      <vt:lpstr>GapNumber</vt:lpstr>
      <vt:lpstr>GapPriority</vt:lpstr>
      <vt:lpstr>GapReq</vt:lpstr>
      <vt:lpstr>GapResp</vt:lpstr>
      <vt:lpstr>GapSeverity</vt:lpstr>
      <vt:lpstr>GapStatus</vt:lpstr>
      <vt:lpstr>GapVerify</vt:lpstr>
      <vt:lpstr>List_ActionStatus</vt:lpstr>
      <vt:lpstr>List_Category</vt:lpstr>
      <vt:lpstr>List_Evidence</vt:lpstr>
      <vt:lpstr>List_EvidenceType</vt:lpstr>
      <vt:lpstr>List_OrgType</vt:lpstr>
      <vt:lpstr>List_Priority</vt:lpstr>
      <vt:lpstr>List_RoadmapStatus</vt:lpstr>
      <vt:lpstr>List_Severity</vt:lpstr>
      <vt:lpstr>List_Status</vt:lpstr>
      <vt:lpstr>List_YesNo</vt:lpstr>
      <vt:lpstr>OrgAB</vt:lpstr>
      <vt:lpstr>OrgAssessDate</vt:lpstr>
      <vt:lpstr>OrgAssessor</vt:lpstr>
      <vt:lpstr>OrgCity</vt:lpstr>
      <vt:lpstr>OrgCurrentVer</vt:lpstr>
      <vt:lpstr>OrgName</vt:lpstr>
      <vt:lpstr>OrgQM</vt:lpstr>
      <vt:lpstr>OrgScope</vt:lpstr>
      <vt:lpstr>OrgTargetVer</vt:lpstr>
      <vt:lpstr>OrgTransitionDate</vt:lpstr>
      <vt:lpstr>OrgType</vt:lpstr>
      <vt:lpstr>'01_مقدمة'!Print_Area</vt:lpstr>
      <vt:lpstr>'02_دليل الاستخدام'!Print_Area</vt:lpstr>
      <vt:lpstr>'03_إعدادات المنشأة'!Print_Area</vt:lpstr>
      <vt:lpstr>'04_تحليل الفجوات'!Print_Area</vt:lpstr>
      <vt:lpstr>'05_سجل الأدلة'!Print_Area</vt:lpstr>
      <vt:lpstr>'06_خطة الإجراءات'!Print_Area</vt:lpstr>
      <vt:lpstr>'08_ملخص الإدارة'!Print_Area</vt:lpstr>
      <vt:lpstr>'09_خارطة الانتقال'!Print_Area</vt:lpstr>
      <vt:lpstr>'10_البيانات الرئيسية'!Print_Area</vt:lpstr>
      <vt:lpstr>'11_تقرير QA'!Print_Area</vt:lpstr>
      <vt:lpstr>'12_دليل PivotTables'!Print_Area</vt:lpstr>
      <vt:lpstr>RoadmapPhaseNames</vt:lpstr>
      <vt:lpstr>RoadmapPhasePct</vt:lpstr>
      <vt:lpstr>RoadmapStatusAll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أداة تحليل فجوات الجاهزية والانتقال ISO/IEC 17020:2026 — امتثال</dc:title>
  <dc:subject>ISO/IEC 17020:2026 Gap Analysis &amp; Transition Readiness Tool</dc:subject>
  <dc:creator>Imtithal — امتثال (imtithal.store)</dc:creator>
  <cp:lastModifiedBy>Yass4479 Baset</cp:lastModifiedBy>
  <dcterms:created xsi:type="dcterms:W3CDTF">2026-09-02T19:53:41Z</dcterms:created>
  <dcterms:modified xsi:type="dcterms:W3CDTF">2026-09-05T15:40:20Z</dcterms:modified>
  <cp:category>ISO/IEC 17020 Gap Analysis</cp:category>
</cp:coreProperties>
</file>