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_abd\Downloads\"/>
    </mc:Choice>
  </mc:AlternateContent>
  <xr:revisionPtr revIDLastSave="0" documentId="13_ncr:20001_{405357F1-74DA-451F-A372-1E51C2AAE0E5}" xr6:coauthVersionLast="47" xr6:coauthVersionMax="47" xr10:uidLastSave="{00000000-0000-0000-0000-000000000000}"/>
  <bookViews>
    <workbookView xWindow="-110" yWindow="-110" windowWidth="25820" windowHeight="15500" tabRatio="500" firstSheet="4" activeTab="8" xr2:uid="{00000000-000D-0000-FFFF-FFFF00000000}"/>
  </bookViews>
  <sheets>
    <sheet name="دليل_الاستخدام" sheetId="1" r:id="rId1"/>
    <sheet name="لوحة_القيادة" sheetId="2" r:id="rId2"/>
    <sheet name="بيانات_الإدخال" sheetId="3" r:id="rId3"/>
    <sheet name="التحليل_الوصفي" sheetId="4" r:id="rId4"/>
    <sheet name="تحليل_العلاقة" sheetId="5" r:id="rId5"/>
    <sheet name="النموذج_والدلالة" sheetId="6" r:id="rId6"/>
    <sheet name="التنبؤ_المستقبلي" sheetId="7" r:id="rId7"/>
    <sheet name="الفعلي_مقابل_المتوقع" sheetId="8" r:id="rId8"/>
    <sheet name="جودة_البيانات" sheetId="9" r:id="rId9"/>
    <sheet name="الإعدادات" sheetId="10" r:id="rId10"/>
    <sheet name="_ChartData" sheetId="11" state="hidden" r:id="rId11"/>
  </sheets>
  <definedNames>
    <definedName name="alpha">الإعدادات!$B$9</definedName>
    <definedName name="dq_status">جودة_البيانات!$C$12</definedName>
    <definedName name="fc_next">التنبؤ_المستقبلي!$B$11</definedName>
    <definedName name="mae">الفعلي_مقابل_المتوقع!$B$17</definedName>
    <definedName name="mape">الفعلي_مقابل_المتوقع!$B$18</definedName>
    <definedName name="min_n">الإعدادات!$B$10</definedName>
    <definedName name="r_high">الإعدادات!$B$14</definedName>
    <definedName name="r_low">الإعدادات!$B$13</definedName>
    <definedName name="reg_a">النموذج_والدلالة!$B$9</definedName>
    <definedName name="reg_b">النموذج_والدلالة!$B$8</definedName>
    <definedName name="reg_df">النموذج_والدلالة!$B$5</definedName>
    <definedName name="reg_eq">النموذج_والدلالة!$B$10</definedName>
    <definedName name="reg_n">النموذج_والدلالة!$B$4</definedName>
    <definedName name="reg_p">النموذج_والدلالة!$B$17</definedName>
    <definedName name="reg_r2">النموذج_والدلالة!$B$22</definedName>
    <definedName name="reg_se">النموذج_والدلالة!$B$13</definedName>
    <definedName name="reg_seb">النموذج_والدلالة!$B$15</definedName>
    <definedName name="reg_t">النموذج_والدلالة!$B$16</definedName>
    <definedName name="rel_r">تحليل_العلاقة!$B$3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" i="5" l="1"/>
  <c r="C6" i="2" s="1"/>
  <c r="B17" i="11"/>
  <c r="A17" i="11"/>
  <c r="B16" i="11"/>
  <c r="A16" i="11"/>
  <c r="B15" i="11"/>
  <c r="A15" i="11"/>
  <c r="B14" i="11"/>
  <c r="A14" i="11"/>
  <c r="C13" i="11"/>
  <c r="B13" i="11"/>
  <c r="A13" i="11"/>
  <c r="C12" i="11"/>
  <c r="B12" i="11"/>
  <c r="A12" i="11"/>
  <c r="C11" i="11"/>
  <c r="B11" i="11"/>
  <c r="A11" i="11"/>
  <c r="C10" i="11"/>
  <c r="B10" i="11"/>
  <c r="A10" i="11"/>
  <c r="C9" i="11"/>
  <c r="B9" i="11"/>
  <c r="A9" i="11"/>
  <c r="C8" i="11"/>
  <c r="B8" i="11"/>
  <c r="A8" i="11"/>
  <c r="C7" i="11"/>
  <c r="B7" i="11"/>
  <c r="A7" i="11"/>
  <c r="C6" i="11"/>
  <c r="B6" i="11"/>
  <c r="A6" i="11"/>
  <c r="C5" i="11"/>
  <c r="B5" i="11"/>
  <c r="A5" i="11"/>
  <c r="C4" i="11"/>
  <c r="B4" i="11"/>
  <c r="A4" i="11"/>
  <c r="C3" i="11"/>
  <c r="B3" i="11"/>
  <c r="A3" i="11"/>
  <c r="C2" i="11"/>
  <c r="B2" i="11"/>
  <c r="A2" i="11"/>
  <c r="D27" i="9"/>
  <c r="E27" i="9" s="1"/>
  <c r="C27" i="9"/>
  <c r="B27" i="9"/>
  <c r="A27" i="9"/>
  <c r="C26" i="9"/>
  <c r="D26" i="9" s="1"/>
  <c r="E26" i="9" s="1"/>
  <c r="B26" i="9"/>
  <c r="A26" i="9"/>
  <c r="C25" i="9"/>
  <c r="D25" i="9" s="1"/>
  <c r="E25" i="9" s="1"/>
  <c r="B25" i="9"/>
  <c r="A25" i="9"/>
  <c r="C24" i="9"/>
  <c r="D24" i="9" s="1"/>
  <c r="E24" i="9" s="1"/>
  <c r="B24" i="9"/>
  <c r="A24" i="9"/>
  <c r="C23" i="9"/>
  <c r="D23" i="9" s="1"/>
  <c r="E23" i="9" s="1"/>
  <c r="B23" i="9"/>
  <c r="A23" i="9"/>
  <c r="C22" i="9"/>
  <c r="D22" i="9" s="1"/>
  <c r="E22" i="9" s="1"/>
  <c r="B22" i="9"/>
  <c r="A22" i="9"/>
  <c r="D21" i="9"/>
  <c r="E21" i="9" s="1"/>
  <c r="C21" i="9"/>
  <c r="B21" i="9"/>
  <c r="A21" i="9"/>
  <c r="C20" i="9"/>
  <c r="D20" i="9" s="1"/>
  <c r="E20" i="9" s="1"/>
  <c r="B20" i="9"/>
  <c r="A20" i="9"/>
  <c r="C19" i="9"/>
  <c r="D19" i="9" s="1"/>
  <c r="E19" i="9" s="1"/>
  <c r="B19" i="9"/>
  <c r="A19" i="9"/>
  <c r="C18" i="9"/>
  <c r="D18" i="9" s="1"/>
  <c r="E18" i="9" s="1"/>
  <c r="B18" i="9"/>
  <c r="A18" i="9"/>
  <c r="C17" i="9"/>
  <c r="D17" i="9" s="1"/>
  <c r="E17" i="9" s="1"/>
  <c r="B17" i="9"/>
  <c r="A17" i="9"/>
  <c r="C16" i="9"/>
  <c r="D16" i="9" s="1"/>
  <c r="E16" i="9" s="1"/>
  <c r="B16" i="9"/>
  <c r="A16" i="9"/>
  <c r="B10" i="9"/>
  <c r="C10" i="9" s="1"/>
  <c r="B9" i="9"/>
  <c r="C9" i="9" s="1"/>
  <c r="B8" i="9"/>
  <c r="C8" i="9" s="1"/>
  <c r="B7" i="9"/>
  <c r="C7" i="9" s="1"/>
  <c r="B6" i="9"/>
  <c r="C6" i="9" s="1"/>
  <c r="B5" i="9"/>
  <c r="C5" i="9" s="1"/>
  <c r="B4" i="9"/>
  <c r="C4" i="9" s="1"/>
  <c r="B3" i="9"/>
  <c r="C15" i="8"/>
  <c r="B15" i="8"/>
  <c r="A15" i="8"/>
  <c r="C14" i="8"/>
  <c r="B14" i="8"/>
  <c r="A14" i="8"/>
  <c r="C13" i="8"/>
  <c r="B13" i="8"/>
  <c r="A13" i="8"/>
  <c r="C12" i="8"/>
  <c r="B12" i="8"/>
  <c r="A12" i="8"/>
  <c r="C11" i="8"/>
  <c r="B11" i="8"/>
  <c r="A11" i="8"/>
  <c r="C10" i="8"/>
  <c r="B10" i="8"/>
  <c r="A10" i="8"/>
  <c r="C9" i="8"/>
  <c r="B9" i="8"/>
  <c r="A9" i="8"/>
  <c r="C8" i="8"/>
  <c r="B8" i="8"/>
  <c r="A8" i="8"/>
  <c r="C7" i="8"/>
  <c r="B7" i="8"/>
  <c r="A7" i="8"/>
  <c r="C6" i="8"/>
  <c r="B6" i="8"/>
  <c r="A6" i="8"/>
  <c r="C5" i="8"/>
  <c r="B5" i="8"/>
  <c r="A5" i="8"/>
  <c r="C4" i="8"/>
  <c r="B4" i="8"/>
  <c r="A4" i="8"/>
  <c r="B11" i="7"/>
  <c r="D9" i="7"/>
  <c r="C9" i="7"/>
  <c r="D8" i="7"/>
  <c r="C8" i="7"/>
  <c r="D7" i="7"/>
  <c r="C7" i="7"/>
  <c r="D6" i="7"/>
  <c r="C6" i="7"/>
  <c r="B22" i="6"/>
  <c r="B18" i="6"/>
  <c r="B14" i="6"/>
  <c r="B13" i="6"/>
  <c r="B15" i="6" s="1"/>
  <c r="B9" i="6"/>
  <c r="B8" i="6"/>
  <c r="B16" i="6" s="1"/>
  <c r="B4" i="6"/>
  <c r="B5" i="6" s="1"/>
  <c r="B11" i="4"/>
  <c r="B13" i="4" s="1"/>
  <c r="B10" i="4"/>
  <c r="B12" i="4" s="1"/>
  <c r="B9" i="4"/>
  <c r="B8" i="4"/>
  <c r="B7" i="4"/>
  <c r="B6" i="4"/>
  <c r="B5" i="4"/>
  <c r="B4" i="4"/>
  <c r="B3" i="4"/>
  <c r="K6" i="2"/>
  <c r="I6" i="2"/>
  <c r="A6" i="2"/>
  <c r="C3" i="9" l="1"/>
  <c r="C12" i="9"/>
  <c r="A3" i="2" s="1"/>
  <c r="E15" i="8"/>
  <c r="F15" i="8"/>
  <c r="E14" i="8"/>
  <c r="F14" i="8"/>
  <c r="E13" i="8"/>
  <c r="F13" i="8" s="1"/>
  <c r="E12" i="8"/>
  <c r="F12" i="8"/>
  <c r="E6" i="2"/>
  <c r="B23" i="6"/>
  <c r="D6" i="11"/>
  <c r="D5" i="11"/>
  <c r="D12" i="8"/>
  <c r="D2" i="11"/>
  <c r="D12" i="11"/>
  <c r="D10" i="8"/>
  <c r="E10" i="8" s="1"/>
  <c r="F10" i="8" s="1"/>
  <c r="D11" i="11"/>
  <c r="D10" i="11"/>
  <c r="D8" i="8"/>
  <c r="E8" i="8" s="1"/>
  <c r="F8" i="8" s="1"/>
  <c r="D8" i="11"/>
  <c r="D9" i="11"/>
  <c r="D5" i="8"/>
  <c r="E5" i="8" s="1"/>
  <c r="F5" i="8" s="1"/>
  <c r="D4" i="8"/>
  <c r="E4" i="8" s="1"/>
  <c r="D7" i="11"/>
  <c r="D4" i="11"/>
  <c r="D11" i="8"/>
  <c r="E11" i="8" s="1"/>
  <c r="F11" i="8" s="1"/>
  <c r="D3" i="11"/>
  <c r="D13" i="11"/>
  <c r="D15" i="8"/>
  <c r="D13" i="8"/>
  <c r="D6" i="8"/>
  <c r="E6" i="8" s="1"/>
  <c r="F6" i="8" s="1"/>
  <c r="D17" i="11"/>
  <c r="D16" i="11"/>
  <c r="D14" i="8"/>
  <c r="D7" i="8"/>
  <c r="E7" i="8" s="1"/>
  <c r="F7" i="8" s="1"/>
  <c r="D15" i="11"/>
  <c r="D14" i="11"/>
  <c r="B10" i="6"/>
  <c r="D9" i="8"/>
  <c r="E9" i="8" s="1"/>
  <c r="F9" i="8" s="1"/>
  <c r="B5" i="5"/>
  <c r="B4" i="5"/>
  <c r="B17" i="6"/>
  <c r="G6" i="2" l="1"/>
  <c r="B19" i="6"/>
  <c r="F4" i="8"/>
  <c r="B18" i="8" s="1"/>
  <c r="B17" i="8"/>
</calcChain>
</file>

<file path=xl/sharedStrings.xml><?xml version="1.0" encoding="utf-8"?>
<sst xmlns="http://schemas.openxmlformats.org/spreadsheetml/2006/main" count="176" uniqueCount="163">
  <si>
    <t>أداة الدقة التنبؤية في قيادة الجودة
من تحليل الماضي إلى التنبؤ بالمستقبل باستخدام الانحدار الخطي البسيط</t>
  </si>
  <si>
    <t>① الهدف من الأداة</t>
  </si>
  <si>
    <t>تحوّل هذه الأداة المادة العلمية عن الانحدار الخطي البسيط إلى أداة عملية لدعم القرار داخل المؤسسات (الجودة، الإدارة، العمليات، التخطيط). الفكرة المحورية: بدل الاعتماد على متوسطات الأعوام السابقة أو التخمين، تستخدم الأداة بياناتك التاريخية لبناء معادلة تنبؤية فعلية (Y = a + bX) تجيب عن: ماذا حدث؟ ولماذا قد تكون هناك علاقة؟ وماذا نتوقع مستقبلاً؟ وكيف نستخدم ذلك في التخطيط واتخاذ القرار؟</t>
  </si>
  <si>
    <t>② لمن تُستخدم هذه الأداة</t>
  </si>
  <si>
    <t>لأي مسؤول جودة أو إداري أو مخطط عمليات يحتاج إلى تحويل بيانات تاريخية بسيطة (مؤشرين كميين مرتبطين بالزمن أو ببعضهما) إلى قرار مبني على بيانات — دون الحاجة لخلفية إحصائية متعمقة أو أي برنامج إضافي مثل Minitab. كل ما تحتاجه الأداة منك هو إدخال البيانات في ورقة (بيانات الإدخال)؛ والباقي يُحسب تلقائيًا.</t>
  </si>
  <si>
    <t>③ ما نوع البيانات المطلوبة؟ وما المقصود بـ X وY؟</t>
  </si>
  <si>
    <t>المطلوب متغيران كميان مرتبطان عبر فترات زمنية متتالية (شهور، أرباع، دفعات إنتاج...):
• X = المتغير المستقل / المُسبب — العامل الذي نفترض أنه يؤثر (مثال: الزمن بالأشهر، عدد الموظفين، ساعات التدريب، حجم الإنتاج).
• Y = المتغير التابع / النتيجة — الرقم الذي نريد فهمه والتنبؤ به (مثال: عدد المرضى، الإنتاجية، نسبة الأخطاء، نسبة العيوب).
غيّر أوصاف X وY في أعلى ورقة (بيانات الإدخال) لتناسب مؤشرك الفعلي؛ منهجية الأداة تبقى صالحة لأي متغيرين كميين.</t>
  </si>
  <si>
    <t>④ خطوات الاستخدام</t>
  </si>
  <si>
    <t>1) احذف بيانات العرض التجريبية في ورقة (بيانات الإدخال) وأدخل بياناتك الفعلية في الأعمدة الصفراء فقط.
2) راجع ورقة (جودة البيانات) — يجب أن تظهر الحالة ✅ قبل الاعتماد على أي نتيجة.
3) راجع (التحليل الوصفي) و(تحليل العلاقة) لفهم شكل بياناتك والعلاقة بين X وY.
4) افتح (النموذج والدلالة) لرؤية معادلة الانحدار، الدلالة الإحصائية P-value، وقوة النموذج R².
5) أدخل قيم X المستقبلية في ورقة (التنبؤ المستقبلي) لحساب Y المتوقع تلقائيًا.
6) راجع (الفعلي مقابل المتوقع) لتقييم مدى دقة النموذج على بياناتك.
7) اعرض (لوحة القيادة) على الإدارة — تحتوي كل الأرقام والرسوم والقراءة الإدارية جاهزة، ومرتبطة تلقائيًا ببياناتك.</t>
  </si>
  <si>
    <t>⑤ معنى Correlation — معامل الارتباط r</t>
  </si>
  <si>
    <t>⑥ معنى Regression — الانحدار الخطي ومعادلة Y = a + bX</t>
  </si>
  <si>
    <t>بينما الارتباط يصف الحالة الحالية فقط، الانحدار يبني معادلة رياضية عملية قابلة للاستخدام في التنبؤ: Y = a + bX، حيث b هو الميل (مقدار تغيّر Y مقابل كل وحدة تغيّر في X)، وa هو الثابت (قيمة Y المتوقعة عندما X = 0). هذه المعادلة هي جوهر الأداة، وتُحسب تلقائيًا وتتحدّث فور تغيير بيانات الإدخال.</t>
  </si>
  <si>
    <t>⑦ معنى P-value — الدلالة الإحصائية</t>
  </si>
  <si>
    <t>تجيب P-value عن سؤال: هل العلاقة التي رصدناها حقيقية إحصائيًا، أم قد تكون صدفة في هذه البيانات تحديدًا؟ المعيار المستخدم افتراضيًا في هذه الأداة هو مستوى دلالة Alpha = 0.05 (القيمة الفعلية المعتمدة حاليًا معروضة وقابلة للتعديل في ورقة الإعدادات). إذا كانت P-value أقل من Alpha، تُعتبر العلاقة ذات دلالة إحصائية. هذا لا يعني تلقائيًا أن النموذج مناسب لكل قرار — يبقى الحكم الإداري ضروريًا.</t>
  </si>
  <si>
    <t>⑧ معنى R² — قوة التفسير التنبؤي للنموذج</t>
  </si>
  <si>
    <t>R² يمثل نسبة التغيّر في Y التي يفسّرها النموذج الخطي باستخدام X، ضمن البيانات المستخدمة فقط. مثال: R² = 85% تعني أن النموذج يفسر حوالي 85% من التباين في Y، بينما الـ15% المتبقية تعود لعوامل أخرى لم تُدرَج في النموذج. تصنيفات (ضعيف/متوسط/قوي) في هذه الأداة تصنيفات تشغيلية قابلة للتعديل من الإعدادات، وليست قاعدة إحصائية عالمية.</t>
  </si>
  <si>
    <t>⑨ كيف تقرأ التنبؤ</t>
  </si>
  <si>
    <t>في ورقة (التنبؤ المستقبلي)، أدخل قيمة X المستقبلية ليُحسب Y المتوقع تلقائيًا عبر معادلة النموذج. تنبّه الأداة تلقائيًا إذا كانت قيمة X المُدخلة تقع خارج نطاق بياناتك التاريخية، لأن التنبؤ في هذه الحالة يصبح أكثر خطورة وأقل موثوقية.</t>
  </si>
  <si>
    <t>⑩ حدود استخدام الأداة</t>
  </si>
  <si>
    <t>• النموذج مبني على الانحدار الخطي البسيط (متغير مستقل واحد فقط).
• العلاقة الإحصائية لا تعني بالضرورة السببية.
• جودة التنبؤ تعتمد كليًا على جودة البيانات المُدخلة — راجع ورقة (جودة البيانات) دائمًا أولاً.
• النتائج مبنية على البيانات التاريخية المستخدمة فقط، ولا تضمن استمرار نفس النمط مستقبلاً.
• التنبؤ لقيم X بعيدة عن نطاق البيانات التاريخية (خارج النطاق) أكثر خطورة.
• دلالة إحصائية (P-value دال) لا تعني أن النموذج مناسب لكل قرار.
• R² مرتفع وحده لا يعني أن النموذج صالح لكل استخدام.
• يجب استخدام المعرفة التشغيلية والإدارية دائمًا جنبًا إلى جنب مع نتائج التحليل الإحصائي.</t>
  </si>
  <si>
    <t>⚠ تنبيه جوهري</t>
  </si>
  <si>
    <t>التنبؤ الإحصائي أداة لدعم القرار، وليس بديلاً عن الحكم الإداري أو المعرفة التشغيلية.</t>
  </si>
  <si>
    <t>خريطة أوراق الملف</t>
  </si>
  <si>
    <t>دليل الاستخدام ← بيانات الإدخال ← التحليل الوصفي ← تحليل العلاقة ← النموذج والدلالة ← التنبؤ المستقبلي ← الفعلي مقابل المتوقع ← لوحة القيادة ← جودة البيانات ← الإعدادات.
الأوراق الصفراء فقط هي القابلة للتعديل (بيانات الإدخال، قيم X المستقبلية، الإعدادات). باقي الأوراق محمية لمنع أي تعديل غير مقصود في المعادلات.</t>
  </si>
  <si>
    <t>أداة الدقة التنبؤية في قيادة الجودة</t>
  </si>
  <si>
    <t>من تحليل الماضي إلى التنبؤ بالمستقبل  |  Y = a + bX</t>
  </si>
  <si>
    <t>عدد المشاهدات n</t>
  </si>
  <si>
    <t>معامل الارتباط r</t>
  </si>
  <si>
    <t>قوة النموذج R²</t>
  </si>
  <si>
    <t>الدلالة الإحصائية P-value</t>
  </si>
  <si>
    <t>الميل b</t>
  </si>
  <si>
    <t>التوقع القادم Y Forecast</t>
  </si>
  <si>
    <t>القراءة الإدارية</t>
  </si>
  <si>
    <t>الرسم الرئيسي: العلاقة بين X وY (Scatter + خط الانحدار)</t>
  </si>
  <si>
    <t>مخطط الاتجاه والتنبؤ: البيانات الفعلية ثم التنبؤ</t>
  </si>
  <si>
    <t>بيانات الإدخال — البيانات التاريخية</t>
  </si>
  <si>
    <t>اسم المؤسسة</t>
  </si>
  <si>
    <t>مستشفى النموذج التخصصي</t>
  </si>
  <si>
    <t>الإدارة / القسم</t>
  </si>
  <si>
    <t>إدارة تخطيط الموارد</t>
  </si>
  <si>
    <t>اسم المؤشر</t>
  </si>
  <si>
    <t>عدد المرضى الشهري</t>
  </si>
  <si>
    <t>وصف X (المتغير المستقل)</t>
  </si>
  <si>
    <t>الزمن بالأشهر</t>
  </si>
  <si>
    <t>وصف Y (النتيجة / المتغير التابع)</t>
  </si>
  <si>
    <t>عدد المرضى المسجلين</t>
  </si>
  <si>
    <t>وحدة القياس</t>
  </si>
  <si>
    <t>عدد / مريض</t>
  </si>
  <si>
    <t>فترة البيانات</t>
  </si>
  <si>
    <t>12 شهرًا</t>
  </si>
  <si>
    <t>مصدر البيانات</t>
  </si>
  <si>
    <t>بيانات تجريبية توضيحية</t>
  </si>
  <si>
    <t>تاريخ التحليل</t>
  </si>
  <si>
    <t>2026-09-08</t>
  </si>
  <si>
    <t>اسم محلل البيانات</t>
  </si>
  <si>
    <t>يمكنك تغيير أسماء X وY في الحقول أعلاه لتناسب أي مؤشرين كميين (مثل: ساعات التدريب / نسبة الأخطاء، حجم الإنتاج / نسبة العيوب). عدّل بيانات الجدول أدناه بحذف بيانات العرض التجريبية وإدخال بياناتك الفعلية.</t>
  </si>
  <si>
    <t>م</t>
  </si>
  <si>
    <t>الفترة</t>
  </si>
  <si>
    <t>X</t>
  </si>
  <si>
    <t>Y</t>
  </si>
  <si>
    <t>الشهر 1</t>
  </si>
  <si>
    <t>الشهر 2</t>
  </si>
  <si>
    <t>الشهر 3</t>
  </si>
  <si>
    <t>الشهر 4</t>
  </si>
  <si>
    <t>الشهر 5</t>
  </si>
  <si>
    <t>الشهر 6</t>
  </si>
  <si>
    <t>الشهر 7</t>
  </si>
  <si>
    <t>الشهر 8</t>
  </si>
  <si>
    <t>الشهر 9</t>
  </si>
  <si>
    <t>الشهر 10</t>
  </si>
  <si>
    <t>الشهر 11</t>
  </si>
  <si>
    <t>الشهر 12</t>
  </si>
  <si>
    <t>التحليل الوصفي — ماذا حدث في الماضي؟</t>
  </si>
  <si>
    <t>أدنى قيمة لـ X (Minimum)</t>
  </si>
  <si>
    <t>أعلى قيمة لـ X (Maximum)</t>
  </si>
  <si>
    <t>متوسط X (Average)</t>
  </si>
  <si>
    <t>أدنى قيمة لـ Y (Minimum)</t>
  </si>
  <si>
    <t>أعلى قيمة لـ Y (Maximum)</t>
  </si>
  <si>
    <t>متوسط Y (Average)</t>
  </si>
  <si>
    <t>القيمة الأولى لـ Y</t>
  </si>
  <si>
    <t>القيمة الأخيرة لـ Y</t>
  </si>
  <si>
    <t>نسبة التغير من أول فترة لآخر فترة</t>
  </si>
  <si>
    <t>الاتجاه العام للبيانات</t>
  </si>
  <si>
    <t>تطور Y عبر الزمن</t>
  </si>
  <si>
    <t>تحليل العلاقة — هل توجد علاقة بين X وY؟</t>
  </si>
  <si>
    <t>معامل ارتباط بيرسون r</t>
  </si>
  <si>
    <t>اتجاه العلاقة</t>
  </si>
  <si>
    <t>قوة العلاقة (تصنيف تشغيلي)</t>
  </si>
  <si>
    <t>⚠ الارتباط يُخبرك بوجود علاقة بين المتغيرين، لكنه لا يثبت أن أحدهما يسبب الآخر (Correlation ≠ Causation). الارتباط مؤشر رقمي يصف الحالة الحالية فقط، بينما الانحدار (الورقة التالية) يمنحك معادلة عملية للتنبؤ.</t>
  </si>
  <si>
    <t>مخطط الانتشار Scatter Plot مع خط الاتجاه</t>
  </si>
  <si>
    <t>النموذج التنبؤي — الانحدار الخطي البسيط والدلالة الإحصائية</t>
  </si>
  <si>
    <t>بيانات النموذج</t>
  </si>
  <si>
    <t>درجات الحرية df = n - 2</t>
  </si>
  <si>
    <t>معادلة الانحدار  Y = a + bX</t>
  </si>
  <si>
    <t>معامل الميل b (Slope)</t>
  </si>
  <si>
    <t>الثابت a (Intercept)</t>
  </si>
  <si>
    <t>معادلة النموذج</t>
  </si>
  <si>
    <t>اختبار الدلالة الإحصائية للميل</t>
  </si>
  <si>
    <t>الخطأ المعياري للتقدير Se</t>
  </si>
  <si>
    <t>مجموع مربعات انحراف X (Sxx)</t>
  </si>
  <si>
    <t>الخطأ المعياري للميل SE(b)</t>
  </si>
  <si>
    <t>إحصائية t</t>
  </si>
  <si>
    <t>القيمة الاحتمالية P-value</t>
  </si>
  <si>
    <t>مستوى الدلالة المستخدم Alpha</t>
  </si>
  <si>
    <t>القرار الإحصائي</t>
  </si>
  <si>
    <t>معامل التحديد R²</t>
  </si>
  <si>
    <t>التفسير</t>
  </si>
  <si>
    <t>تصنيف قوة النموذج (تشغيلي)</t>
  </si>
  <si>
    <t>ملاحظة منهجية: تُحسب القيمة الاحتمالية (P-value) هنا با��اعتماد على الصيغة الإحصائية الكلاسيكية t = b ÷ SE(b) ثم TDIST(|t|, df, 2) بدل الاعتماد على إضافات خارجية (Data Analysis ToolPak) أو الاقتصار على وصف عام، لضمان أن تعمل الأداة بصيغ Excel قياسية فقط.</t>
  </si>
  <si>
    <t>⚠ تذكير: القيمة الاحتمالية الدالة إحصائيًا لا تعني بالضرورة ملاءمة النموذج لكل قرار، و R² المرتفع وحده لا يعني صلاحية النموذج لكل استخدام. استخدم دائمًا المعرفة التشغيلية بجانب التحليل.</t>
  </si>
  <si>
    <t>التنبؤ بالمستقبل</t>
  </si>
  <si>
    <t>أدخل قيم X مستقبلية في الخلايا المخصصة (باللون الأصفر الفاتح) ليحسب Y المتوقع تلقائيًا باستخدام معادلة الانحدار المستخرجة من البيانات التاريخية.</t>
  </si>
  <si>
    <t>الفترة المستقبلية</t>
  </si>
  <si>
    <t>X المتوقع</t>
  </si>
  <si>
    <t>Y المتوقع</t>
  </si>
  <si>
    <t>حالة النطاق</t>
  </si>
  <si>
    <t>الشهر 13</t>
  </si>
  <si>
    <t>الشهر 14</t>
  </si>
  <si>
    <t>الشهر 15</t>
  </si>
  <si>
    <t>الشهر 16</t>
  </si>
  <si>
    <t>توقع الفترة القادمة مباشرة (Y Forecast)</t>
  </si>
  <si>
    <t>⚠ حدود الاستخدام: التنبؤ لقيم X أبعد كثيرًا عن نطاق البيانات التاريخية أكثر خطورة، لأن النموذج لم يُختبر عمليًا خارج هذا النطاق. راجع القسم رقم 19 في دليل الاستخدام.</t>
  </si>
  <si>
    <t>الفعلي مقابل المتوقع — تقييم دقة النموذج</t>
  </si>
  <si>
    <t>Y الفعلي</t>
  </si>
  <si>
    <t>الفرق (Residual)</t>
  </si>
  <si>
    <t>نسبة الخطأ</t>
  </si>
  <si>
    <t>متوسط الخطأ المطلق (MAE)</t>
  </si>
  <si>
    <t>متوسط نسبة الخطأ المطلق (MAPE)</t>
  </si>
  <si>
    <t>مخطط الفعلي مقابل المتوقع</t>
  </si>
  <si>
    <t>جودة البيانات — فحص تلقائي قبل الاعتماد على النموذج</t>
  </si>
  <si>
    <t>خلايا فارغة في X</t>
  </si>
  <si>
    <t>خلايا فارغة في Y</t>
  </si>
  <si>
    <t>قيم غير رقمية في X</t>
  </si>
  <si>
    <t>قيم غير رقمية في Y</t>
  </si>
  <si>
    <t>التباين (Variation) في X</t>
  </si>
  <si>
    <t>التباين (Variation) في Y</t>
  </si>
  <si>
    <t>عدد القيم شديدة الشذوذ (|Z| &gt; 2) في Y</t>
  </si>
  <si>
    <t>حالة جاهزية البيانات للتحليل</t>
  </si>
  <si>
    <t>تفصيل القيم حسب الفترة (Z-Score)</t>
  </si>
  <si>
    <t>Z-Score</t>
  </si>
  <si>
    <t>ملاحظة</t>
  </si>
  <si>
    <t>الإعدادات</t>
  </si>
  <si>
    <t>اسم الأداة</t>
  </si>
  <si>
    <t>الوصف الفرعي</t>
  </si>
  <si>
    <t>من تحليل الماضي إلى التنبؤ بالمستقبل</t>
  </si>
  <si>
    <t>الإصدار</t>
  </si>
  <si>
    <t>V1.0</t>
  </si>
  <si>
    <t>اسم المؤسسة الافتراضي</t>
  </si>
  <si>
    <t>معايير الدلالة الإحصائية وحجم العينة</t>
  </si>
  <si>
    <t>مستوى الدلالة Alpha</t>
  </si>
  <si>
    <t>الحد الأدنى الموصى به لعدد المشاهدات n</t>
  </si>
  <si>
    <t>تصنيف قوة الارتباط r (تشغيلي وقابل للتعديل)</t>
  </si>
  <si>
    <t>الحد الأدنى لعلاقة متوسطة |r| ≥</t>
  </si>
  <si>
    <t>الحد الأدنى لعلاقة قوية |r| ≥</t>
  </si>
  <si>
    <t>تصنيف قوة النموذج R² (تشغيلي وقابل للتعديل)</t>
  </si>
  <si>
    <t>الحد الأدنى لنموذج متوسط R² ≥</t>
  </si>
  <si>
    <t>الحد الأدنى لنموذج قوي R² ≥</t>
  </si>
  <si>
    <t>⚠ تنبيه: تصنيفات (ضعيف/متوسط/قوي) أعلاه تصنيفات تشغيلية داخلية لدعم القراءة الإدارية، وليست قواعد إحصائية عالمية ثابتة. يمكن تعديلها حسب طبيعة نشاط المؤسسة.</t>
  </si>
  <si>
    <t>الفعلي</t>
  </si>
  <si>
    <r>
      <rPr>
        <sz val="11"/>
        <color theme="1"/>
        <rFont val="FreeSans"/>
        <family val="2"/>
      </rPr>
      <t xml:space="preserve">الخط المتوقع </t>
    </r>
    <r>
      <rPr>
        <sz val="11"/>
        <color theme="1"/>
        <rFont val="Calibri"/>
        <family val="2"/>
        <charset val="1"/>
      </rPr>
      <t>(Fitted/Forecast)</t>
    </r>
  </si>
  <si>
    <t>تشير البيانات إلى وجود علاقة خطية ذات دلالة إحصائية، ويقدم النموذج قدرة تفسيرية جيدة ضمن البيانات المتاحة. يمكن استخدام التنبؤ لدعم التخطيط، مع مراعاة العوامل الأخرى المؤثرة.</t>
  </si>
  <si>
    <t>قوي</t>
  </si>
  <si>
    <t>R يقيس قوة واتجاه العلاقة الخطية بين X وY، وتتراوح قيمته بين 1- و1+. القيمة الموجبة تعني علاقة طردية (كلما زاد X زاد Y)، والسالبة تعني علاقة عكسية. مهم جدًا: الارتباط يخبرك بوجود علاقة، لكنه لا يثبت أن X يسبب Y (Correlation ≠ Causation).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</si>
</sst>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000"/>
  </numFmts>
  <fonts count="16">
    <font>
      <sz val="11"/>
      <color theme="1"/>
      <name val="Calibri"/>
      <family val="2"/>
      <charset val="1"/>
    </font>
    <font>
      <b/>
      <sz val="18"/>
      <color rgb="FFFFFFFF"/>
      <name val="Arial"/>
      <family val="2"/>
    </font>
    <font>
      <b/>
      <sz val="13"/>
      <color rgb="FF1A2E5E"/>
      <name val="Arial"/>
      <family val="2"/>
    </font>
    <font>
      <sz val="10"/>
      <color rgb="FF1A1A1A"/>
      <name val="Arial"/>
      <family val="2"/>
    </font>
    <font>
      <b/>
      <sz val="22"/>
      <color rgb="FFFFFFFF"/>
      <name val="Arial"/>
      <family val="2"/>
    </font>
    <font>
      <sz val="12"/>
      <color rgb="FFFFFFFF"/>
      <name val="Arial"/>
      <family val="2"/>
    </font>
    <font>
      <b/>
      <sz val="11"/>
      <color rgb="FF1A2E5E"/>
      <name val="Arial"/>
      <family val="2"/>
    </font>
    <font>
      <b/>
      <sz val="10"/>
      <color rgb="FFFFFFFF"/>
      <name val="Arial"/>
      <family val="2"/>
    </font>
    <font>
      <b/>
      <sz val="18"/>
      <color rgb="FF1A2E5E"/>
      <name val="Arial"/>
      <family val="2"/>
    </font>
    <font>
      <b/>
      <sz val="14"/>
      <color rgb="FFFFFFFF"/>
      <name val="Arial"/>
      <family val="2"/>
    </font>
    <font>
      <b/>
      <sz val="12"/>
      <color rgb="FF1A2E5E"/>
      <name val="Arial"/>
      <family val="2"/>
    </font>
    <font>
      <b/>
      <sz val="10"/>
      <color rgb="FF1A1A1A"/>
      <name val="Arial"/>
      <family val="2"/>
    </font>
    <font>
      <sz val="10"/>
      <color rgb="FF0000FF"/>
      <name val="Arial"/>
      <family val="2"/>
    </font>
    <font>
      <b/>
      <sz val="10"/>
      <color rgb="FF1A2E5E"/>
      <name val="Arial"/>
      <family val="2"/>
    </font>
    <font>
      <b/>
      <sz val="10"/>
      <color rgb="FFC0392B"/>
      <name val="Arial"/>
      <family val="2"/>
    </font>
    <font>
      <sz val="11"/>
      <color theme="1"/>
      <name val="FreeSans"/>
      <family val="2"/>
    </font>
  </fonts>
  <fills count="8">
    <fill>
      <patternFill patternType="none"/>
    </fill>
    <fill>
      <patternFill patternType="gray125"/>
    </fill>
    <fill>
      <patternFill patternType="solid">
        <fgColor rgb="FF1A2E5E"/>
        <bgColor rgb="FF333399"/>
      </patternFill>
    </fill>
    <fill>
      <patternFill patternType="solid">
        <fgColor rgb="FFC8A84B"/>
        <bgColor rgb="FFFF9900"/>
      </patternFill>
    </fill>
    <fill>
      <patternFill patternType="solid">
        <fgColor rgb="FFFFFFFF"/>
        <bgColor rgb="FFFFF9E5"/>
      </patternFill>
    </fill>
    <fill>
      <patternFill patternType="solid">
        <fgColor rgb="FFFBE9B5"/>
        <bgColor rgb="FFFFF9E5"/>
      </patternFill>
    </fill>
    <fill>
      <patternFill patternType="solid">
        <fgColor rgb="FFF2F2F2"/>
        <bgColor rgb="FFFFF9E5"/>
      </patternFill>
    </fill>
    <fill>
      <patternFill patternType="solid">
        <fgColor rgb="FFFFF9E5"/>
        <bgColor rgb="FFFFFFFF"/>
      </patternFill>
    </fill>
  </fills>
  <borders count="4">
    <border>
      <left/>
      <right/>
      <top/>
      <bottom/>
      <diagonal/>
    </border>
    <border>
      <left style="medium">
        <color rgb="FFC8A84B"/>
      </left>
      <right/>
      <top style="medium">
        <color rgb="FFC8A84B"/>
      </top>
      <bottom style="medium">
        <color rgb="FFC8A84B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right" vertical="top" wrapText="1"/>
    </xf>
    <xf numFmtId="0" fontId="11" fillId="6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/>
    <xf numFmtId="0" fontId="3" fillId="4" borderId="0" xfId="0" applyFont="1" applyFill="1" applyAlignment="1">
      <alignment horizontal="right" vertical="center" wrapText="1" readingOrder="2"/>
    </xf>
    <xf numFmtId="0" fontId="3" fillId="4" borderId="0" xfId="0" applyFont="1" applyFill="1" applyAlignment="1">
      <alignment vertical="center" wrapText="1" readingOrder="2"/>
    </xf>
    <xf numFmtId="1" fontId="3" fillId="4" borderId="2" xfId="0" applyNumberFormat="1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6" borderId="2" xfId="0" applyFont="1" applyFill="1" applyBorder="1" applyAlignment="1">
      <alignment horizontal="right" vertical="center" wrapText="1" readingOrder="2"/>
    </xf>
    <xf numFmtId="1" fontId="3" fillId="4" borderId="2" xfId="0" applyNumberFormat="1" applyFont="1" applyFill="1" applyBorder="1" applyAlignment="1">
      <alignment horizontal="center" vertical="center" wrapText="1" readingOrder="2"/>
    </xf>
    <xf numFmtId="2" fontId="3" fillId="4" borderId="2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readingOrder="2"/>
    </xf>
    <xf numFmtId="0" fontId="0" fillId="0" borderId="0" xfId="0" applyAlignment="1">
      <alignment horizontal="right" readingOrder="2"/>
    </xf>
    <xf numFmtId="0" fontId="6" fillId="0" borderId="0" xfId="0" applyFont="1" applyAlignment="1">
      <alignment horizontal="right" readingOrder="2"/>
    </xf>
    <xf numFmtId="0" fontId="12" fillId="7" borderId="2" xfId="0" applyFont="1" applyFill="1" applyBorder="1" applyAlignment="1" applyProtection="1">
      <alignment horizontal="right" vertical="center" wrapText="1" readingOrder="2"/>
      <protection locked="0"/>
    </xf>
    <xf numFmtId="2" fontId="12" fillId="7" borderId="2" xfId="0" applyNumberFormat="1" applyFont="1" applyFill="1" applyBorder="1" applyAlignment="1" applyProtection="1">
      <alignment horizontal="center" vertical="center" wrapText="1"/>
      <protection locked="0"/>
    </xf>
    <xf numFmtId="1" fontId="12" fillId="7" borderId="2" xfId="0" applyNumberFormat="1" applyFont="1" applyFill="1" applyBorder="1" applyAlignment="1" applyProtection="1">
      <alignment horizontal="center" vertical="center" wrapText="1"/>
      <protection locked="0"/>
    </xf>
    <xf numFmtId="9" fontId="1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right" vertical="center" wrapText="1" readingOrder="2"/>
    </xf>
    <xf numFmtId="0" fontId="14" fillId="6" borderId="0" xfId="0" applyFont="1" applyFill="1" applyAlignment="1">
      <alignment horizontal="right" vertical="center" wrapText="1" readingOrder="2"/>
    </xf>
    <xf numFmtId="0" fontId="9" fillId="2" borderId="0" xfId="0" applyFont="1" applyFill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right" vertical="center" wrapText="1" readingOrder="2"/>
    </xf>
    <xf numFmtId="1" fontId="8" fillId="5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6" fontId="8" fillId="5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2" fillId="7" borderId="3" xfId="0" applyFont="1" applyFill="1" applyBorder="1" applyAlignment="1" applyProtection="1">
      <alignment horizontal="right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center" wrapText="1" readingOrder="2"/>
    </xf>
    <xf numFmtId="0" fontId="12" fillId="7" borderId="3" xfId="0" applyFont="1" applyFill="1" applyBorder="1" applyAlignment="1" applyProtection="1">
      <alignment horizontal="right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9E5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AD9"/>
      <rgbColor rgb="FFFBE9B5"/>
      <rgbColor rgb="FF99CCFF"/>
      <rgbColor rgb="FFFF99CC"/>
      <rgbColor rgb="FFCC99FF"/>
      <rgbColor rgb="FFF5C6C0"/>
      <rgbColor rgb="FF3366FF"/>
      <rgbColor rgb="FF33CCCC"/>
      <rgbColor rgb="FF99CC00"/>
      <rgbColor rgb="FFFFCC00"/>
      <rgbColor rgb="FFFF9900"/>
      <rgbColor rgb="FFFF6600"/>
      <rgbColor rgb="FF666699"/>
      <rgbColor rgb="FFC8A84B"/>
      <rgbColor rgb="FF1A2E5E"/>
      <rgbColor rgb="FF2EA67A"/>
      <rgbColor rgb="FF003300"/>
      <rgbColor rgb="FF333300"/>
      <rgbColor rgb="FFC0392B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Scatter Plot + Regression Line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بيانات_الإدخال!$D$15</c:f>
              <c:strCache>
                <c:ptCount val="1"/>
                <c:pt idx="0">
                  <c:v>Y</c:v>
                </c:pt>
              </c:strCache>
            </c:strRef>
          </c:tx>
          <c:spPr>
            <a:ln w="28440">
              <a:noFill/>
            </a:ln>
          </c:spPr>
          <c:marker>
            <c:symbol val="circle"/>
            <c:size val="7"/>
            <c:spPr>
              <a:solidFill>
                <a:srgbClr val="1A2E5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ar-EG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20160">
                <a:solidFill>
                  <a:srgbClr val="C8A84B"/>
                </a:solidFill>
                <a:round/>
              </a:ln>
            </c:spPr>
            <c:trendlineType val="linear"/>
            <c:dispRSqr val="1"/>
            <c:dispEq val="1"/>
            <c:trendlineLbl>
              <c:layout>
                <c:manualLayout>
                  <c:x val="0.11715562676856563"/>
                  <c:y val="-0.13835633811748294"/>
                </c:manualLayout>
              </c:layout>
              <c:numFmt formatCode="General" sourceLinked="0"/>
            </c:trendlineLbl>
          </c:trendline>
          <c:xVal>
            <c:numRef>
              <c:f>بيانات_الإدخال!$C$16:$C$27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بيانات_الإدخال!$D$16:$D$27</c:f>
              <c:numCache>
                <c:formatCode>General</c:formatCode>
                <c:ptCount val="12"/>
                <c:pt idx="0">
                  <c:v>118</c:v>
                </c:pt>
                <c:pt idx="1">
                  <c:v>125</c:v>
                </c:pt>
                <c:pt idx="2">
                  <c:v>130</c:v>
                </c:pt>
                <c:pt idx="3">
                  <c:v>142</c:v>
                </c:pt>
                <c:pt idx="4">
                  <c:v>138</c:v>
                </c:pt>
                <c:pt idx="5">
                  <c:v>150</c:v>
                </c:pt>
                <c:pt idx="6">
                  <c:v>162</c:v>
                </c:pt>
                <c:pt idx="7">
                  <c:v>158</c:v>
                </c:pt>
                <c:pt idx="8">
                  <c:v>170</c:v>
                </c:pt>
                <c:pt idx="9">
                  <c:v>180</c:v>
                </c:pt>
                <c:pt idx="10">
                  <c:v>175</c:v>
                </c:pt>
                <c:pt idx="11">
                  <c:v>190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324-473F-8508-69A30C66B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98461"/>
        <c:axId val="40401653"/>
      </c:scatterChart>
      <c:valAx>
        <c:axId val="1889846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40401653"/>
        <c:crosses val="autoZero"/>
        <c:crossBetween val="midCat"/>
      </c:valAx>
      <c:valAx>
        <c:axId val="4040165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18898461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ar-EG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ar-EG" sz="1800" b="1" strike="noStrike" spc="-1">
                <a:solidFill>
                  <a:srgbClr val="000000"/>
                </a:solidFill>
                <a:latin typeface="Calibri"/>
              </a:rPr>
              <a:t>البيانات الفعلية ← التنبؤ بالمستقبل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_ChartData!$C$1</c:f>
              <c:strCache>
                <c:ptCount val="1"/>
                <c:pt idx="0">
                  <c:v>الفعلي</c:v>
                </c:pt>
              </c:strCache>
            </c:strRef>
          </c:tx>
          <c:spPr>
            <a:ln w="28080">
              <a:solidFill>
                <a:srgbClr val="1A2E5E"/>
              </a:solidFill>
              <a:round/>
            </a:ln>
          </c:spPr>
          <c:marker>
            <c:symbol val="circle"/>
            <c:size val="6"/>
            <c:spPr>
              <a:solidFill>
                <a:srgbClr val="1A2E5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ar-EG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_ChartData!$A$2:$A$17</c:f>
              <c:strCache>
                <c:ptCount val="16"/>
                <c:pt idx="0">
                  <c:v>الشهر 1</c:v>
                </c:pt>
                <c:pt idx="1">
                  <c:v>الشهر 2</c:v>
                </c:pt>
                <c:pt idx="2">
                  <c:v>الشهر 3</c:v>
                </c:pt>
                <c:pt idx="3">
                  <c:v>الشهر 4</c:v>
                </c:pt>
                <c:pt idx="4">
                  <c:v>الشهر 5</c:v>
                </c:pt>
                <c:pt idx="5">
                  <c:v>الشهر 6</c:v>
                </c:pt>
                <c:pt idx="6">
                  <c:v>الشهر 7</c:v>
                </c:pt>
                <c:pt idx="7">
                  <c:v>الشهر 8</c:v>
                </c:pt>
                <c:pt idx="8">
                  <c:v>الشهر 9</c:v>
                </c:pt>
                <c:pt idx="9">
                  <c:v>الشهر 10</c:v>
                </c:pt>
                <c:pt idx="10">
                  <c:v>الشهر 11</c:v>
                </c:pt>
                <c:pt idx="11">
                  <c:v>الشهر 12</c:v>
                </c:pt>
                <c:pt idx="12">
                  <c:v>الشهر 13</c:v>
                </c:pt>
                <c:pt idx="13">
                  <c:v>الشهر 14</c:v>
                </c:pt>
                <c:pt idx="14">
                  <c:v>الشهر 15</c:v>
                </c:pt>
                <c:pt idx="15">
                  <c:v>الشهر 16</c:v>
                </c:pt>
              </c:strCache>
            </c:strRef>
          </c:cat>
          <c:val>
            <c:numRef>
              <c:f>_ChartData!$C$2:$C$17</c:f>
              <c:numCache>
                <c:formatCode>General</c:formatCode>
                <c:ptCount val="16"/>
                <c:pt idx="0">
                  <c:v>118</c:v>
                </c:pt>
                <c:pt idx="1">
                  <c:v>125</c:v>
                </c:pt>
                <c:pt idx="2">
                  <c:v>130</c:v>
                </c:pt>
                <c:pt idx="3">
                  <c:v>142</c:v>
                </c:pt>
                <c:pt idx="4">
                  <c:v>138</c:v>
                </c:pt>
                <c:pt idx="5">
                  <c:v>150</c:v>
                </c:pt>
                <c:pt idx="6">
                  <c:v>162</c:v>
                </c:pt>
                <c:pt idx="7">
                  <c:v>158</c:v>
                </c:pt>
                <c:pt idx="8">
                  <c:v>170</c:v>
                </c:pt>
                <c:pt idx="9">
                  <c:v>180</c:v>
                </c:pt>
                <c:pt idx="10">
                  <c:v>175</c:v>
                </c:pt>
                <c:pt idx="11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F-440F-AEF9-23E6019B52A9}"/>
            </c:ext>
          </c:extLst>
        </c:ser>
        <c:ser>
          <c:idx val="1"/>
          <c:order val="1"/>
          <c:tx>
            <c:strRef>
              <c:f>_ChartData!$D$1</c:f>
              <c:strCache>
                <c:ptCount val="1"/>
                <c:pt idx="0">
                  <c:v>الخط المتوقع (Fitted/Forecast)</c:v>
                </c:pt>
              </c:strCache>
            </c:strRef>
          </c:tx>
          <c:spPr>
            <a:ln w="20160">
              <a:solidFill>
                <a:srgbClr val="C8A84B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ar-EG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_ChartData!$A$2:$A$17</c:f>
              <c:strCache>
                <c:ptCount val="16"/>
                <c:pt idx="0">
                  <c:v>الشهر 1</c:v>
                </c:pt>
                <c:pt idx="1">
                  <c:v>الشهر 2</c:v>
                </c:pt>
                <c:pt idx="2">
                  <c:v>الشهر 3</c:v>
                </c:pt>
                <c:pt idx="3">
                  <c:v>الشهر 4</c:v>
                </c:pt>
                <c:pt idx="4">
                  <c:v>الشهر 5</c:v>
                </c:pt>
                <c:pt idx="5">
                  <c:v>الشهر 6</c:v>
                </c:pt>
                <c:pt idx="6">
                  <c:v>الشهر 7</c:v>
                </c:pt>
                <c:pt idx="7">
                  <c:v>الشهر 8</c:v>
                </c:pt>
                <c:pt idx="8">
                  <c:v>الشهر 9</c:v>
                </c:pt>
                <c:pt idx="9">
                  <c:v>الشهر 10</c:v>
                </c:pt>
                <c:pt idx="10">
                  <c:v>الشهر 11</c:v>
                </c:pt>
                <c:pt idx="11">
                  <c:v>الشهر 12</c:v>
                </c:pt>
                <c:pt idx="12">
                  <c:v>الشهر 13</c:v>
                </c:pt>
                <c:pt idx="13">
                  <c:v>الشهر 14</c:v>
                </c:pt>
                <c:pt idx="14">
                  <c:v>الشهر 15</c:v>
                </c:pt>
                <c:pt idx="15">
                  <c:v>الشهر 16</c:v>
                </c:pt>
              </c:strCache>
            </c:strRef>
          </c:cat>
          <c:val>
            <c:numRef>
              <c:f>_ChartData!$D$2:$D$17</c:f>
              <c:numCache>
                <c:formatCode>General</c:formatCode>
                <c:ptCount val="16"/>
                <c:pt idx="0">
                  <c:v>118.47435897435896</c:v>
                </c:pt>
                <c:pt idx="1">
                  <c:v>124.78205128205127</c:v>
                </c:pt>
                <c:pt idx="2">
                  <c:v>131.08974358974359</c:v>
                </c:pt>
                <c:pt idx="3">
                  <c:v>137.39743589743588</c:v>
                </c:pt>
                <c:pt idx="4">
                  <c:v>143.7051282051282</c:v>
                </c:pt>
                <c:pt idx="5">
                  <c:v>150.0128205128205</c:v>
                </c:pt>
                <c:pt idx="6">
                  <c:v>156.32051282051282</c:v>
                </c:pt>
                <c:pt idx="7">
                  <c:v>162.62820512820511</c:v>
                </c:pt>
                <c:pt idx="8">
                  <c:v>168.93589743589743</c:v>
                </c:pt>
                <c:pt idx="9">
                  <c:v>175.24358974358972</c:v>
                </c:pt>
                <c:pt idx="10">
                  <c:v>181.55128205128204</c:v>
                </c:pt>
                <c:pt idx="11">
                  <c:v>187.85897435897436</c:v>
                </c:pt>
                <c:pt idx="12">
                  <c:v>194.16666666666666</c:v>
                </c:pt>
                <c:pt idx="13">
                  <c:v>200.47435897435895</c:v>
                </c:pt>
                <c:pt idx="14">
                  <c:v>206.78205128205127</c:v>
                </c:pt>
                <c:pt idx="15">
                  <c:v>213.08974358974359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DF-440F-AEF9-23E6019B5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5111522"/>
        <c:axId val="97205166"/>
      </c:lineChart>
      <c:catAx>
        <c:axId val="1511152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B6914"/>
            </a:solidFill>
            <a:prstDash val="solid"/>
          </a:ln>
        </c:spPr>
        <c:txPr>
          <a:bodyPr rot="2700000" vert="horz"/>
          <a:lstStyle/>
          <a:p>
            <a:pPr>
              <a:defRPr sz="900" b="0" strike="noStrike" spc="-1">
                <a:solidFill>
                  <a:srgbClr val="58595B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97205166"/>
        <c:crosses val="autoZero"/>
        <c:auto val="1"/>
        <c:lblAlgn val="ctr"/>
        <c:lblOffset val="100"/>
        <c:noMultiLvlLbl val="0"/>
      </c:catAx>
      <c:valAx>
        <c:axId val="9720516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1511152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ar-EG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ar-EG" sz="1800" b="1" strike="noStrike" spc="-1">
                <a:solidFill>
                  <a:srgbClr val="000000"/>
                </a:solidFill>
                <a:latin typeface="Calibri"/>
              </a:rPr>
              <a:t>تطور </a:t>
            </a: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Y </a:t>
            </a:r>
            <a:r>
              <a:rPr lang="ar-EG" sz="1800" b="1" strike="noStrike" spc="-1">
                <a:solidFill>
                  <a:srgbClr val="000000"/>
                </a:solidFill>
                <a:latin typeface="Calibri"/>
              </a:rPr>
              <a:t>عبر الفترات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بيانات_الإدخال!$D$15</c:f>
              <c:strCache>
                <c:ptCount val="1"/>
                <c:pt idx="0">
                  <c:v>Y</c:v>
                </c:pt>
              </c:strCache>
            </c:strRef>
          </c:tx>
          <c:spPr>
            <a:ln w="24840">
              <a:solidFill>
                <a:srgbClr val="1A2E5E"/>
              </a:solidFill>
              <a:round/>
            </a:ln>
          </c:spPr>
          <c:marker>
            <c:symbol val="circle"/>
            <c:size val="6"/>
            <c:spPr>
              <a:solidFill>
                <a:srgbClr val="1A2E5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ar-EG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بيانات_الإدخال!$B$16:$B$27</c:f>
              <c:strCache>
                <c:ptCount val="12"/>
                <c:pt idx="0">
                  <c:v>الشهر 1</c:v>
                </c:pt>
                <c:pt idx="1">
                  <c:v>الشهر 2</c:v>
                </c:pt>
                <c:pt idx="2">
                  <c:v>الشهر 3</c:v>
                </c:pt>
                <c:pt idx="3">
                  <c:v>الشهر 4</c:v>
                </c:pt>
                <c:pt idx="4">
                  <c:v>الشهر 5</c:v>
                </c:pt>
                <c:pt idx="5">
                  <c:v>الشهر 6</c:v>
                </c:pt>
                <c:pt idx="6">
                  <c:v>الشهر 7</c:v>
                </c:pt>
                <c:pt idx="7">
                  <c:v>الشهر 8</c:v>
                </c:pt>
                <c:pt idx="8">
                  <c:v>الشهر 9</c:v>
                </c:pt>
                <c:pt idx="9">
                  <c:v>الشهر 10</c:v>
                </c:pt>
                <c:pt idx="10">
                  <c:v>الشهر 11</c:v>
                </c:pt>
                <c:pt idx="11">
                  <c:v>الشهر 12</c:v>
                </c:pt>
              </c:strCache>
            </c:strRef>
          </c:cat>
          <c:val>
            <c:numRef>
              <c:f>بيانات_الإدخال!$D$16:$D$27</c:f>
              <c:numCache>
                <c:formatCode>General</c:formatCode>
                <c:ptCount val="12"/>
                <c:pt idx="0">
                  <c:v>118</c:v>
                </c:pt>
                <c:pt idx="1">
                  <c:v>125</c:v>
                </c:pt>
                <c:pt idx="2">
                  <c:v>130</c:v>
                </c:pt>
                <c:pt idx="3">
                  <c:v>142</c:v>
                </c:pt>
                <c:pt idx="4">
                  <c:v>138</c:v>
                </c:pt>
                <c:pt idx="5">
                  <c:v>150</c:v>
                </c:pt>
                <c:pt idx="6">
                  <c:v>162</c:v>
                </c:pt>
                <c:pt idx="7">
                  <c:v>158</c:v>
                </c:pt>
                <c:pt idx="8">
                  <c:v>170</c:v>
                </c:pt>
                <c:pt idx="9">
                  <c:v>180</c:v>
                </c:pt>
                <c:pt idx="10">
                  <c:v>175</c:v>
                </c:pt>
                <c:pt idx="11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A-4B93-A634-40FBC0024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53198793"/>
        <c:axId val="23787560"/>
      </c:lineChart>
      <c:catAx>
        <c:axId val="5319879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ar-EG" sz="1000" b="1" strike="noStrike" spc="-1">
                    <a:solidFill>
                      <a:srgbClr val="000000"/>
                    </a:solidFill>
                    <a:latin typeface="Calibri"/>
                  </a:rPr>
                  <a:t>الفترة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8B6914"/>
            </a:solidFill>
            <a:prstDash val="solid"/>
          </a:ln>
        </c:spPr>
        <c:txPr>
          <a:bodyPr rot="2700000" vert="horz"/>
          <a:lstStyle/>
          <a:p>
            <a:pPr>
              <a:defRPr sz="900" b="0" strike="noStrike" spc="-1">
                <a:solidFill>
                  <a:srgbClr val="58595B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23787560"/>
        <c:crosses val="autoZero"/>
        <c:auto val="1"/>
        <c:lblAlgn val="ctr"/>
        <c:lblOffset val="100"/>
        <c:noMultiLvlLbl val="0"/>
      </c:catAx>
      <c:valAx>
        <c:axId val="2378756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5319879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ar-EG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ar-EG" sz="1800" b="1" strike="noStrike" spc="-1">
                <a:solidFill>
                  <a:srgbClr val="000000"/>
                </a:solidFill>
                <a:latin typeface="Calibri"/>
              </a:rPr>
              <a:t>العلاقة بين </a:t>
            </a: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X </a:t>
            </a:r>
            <a:r>
              <a:rPr lang="ar-EG" sz="1800" b="1" strike="noStrike" spc="-1">
                <a:solidFill>
                  <a:srgbClr val="000000"/>
                </a:solidFill>
                <a:latin typeface="Calibri"/>
              </a:rPr>
              <a:t>و</a:t>
            </a: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بيانات_الإدخال!$D$15</c:f>
              <c:strCache>
                <c:ptCount val="1"/>
                <c:pt idx="0">
                  <c:v>Y</c:v>
                </c:pt>
              </c:strCache>
            </c:strRef>
          </c:tx>
          <c:spPr>
            <a:ln w="28440">
              <a:noFill/>
            </a:ln>
          </c:spPr>
          <c:marker>
            <c:symbol val="circle"/>
            <c:size val="7"/>
            <c:spPr>
              <a:solidFill>
                <a:srgbClr val="1A2E5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ar-EG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20160">
                <a:solidFill>
                  <a:srgbClr val="C8A84B"/>
                </a:solidFill>
                <a:round/>
              </a:ln>
            </c:spPr>
            <c:trendlineType val="linear"/>
            <c:dispRSqr val="1"/>
            <c:dispEq val="1"/>
            <c:trendlineLbl>
              <c:layout>
                <c:manualLayout>
                  <c:x val="0.11391822008231239"/>
                  <c:y val="-0.14994842941215916"/>
                </c:manualLayout>
              </c:layout>
              <c:numFmt formatCode="General" sourceLinked="0"/>
            </c:trendlineLbl>
          </c:trendline>
          <c:xVal>
            <c:numRef>
              <c:f>بيانات_الإدخال!$C$16:$C$27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بيانات_الإدخال!$D$16:$D$27</c:f>
              <c:numCache>
                <c:formatCode>General</c:formatCode>
                <c:ptCount val="12"/>
                <c:pt idx="0">
                  <c:v>118</c:v>
                </c:pt>
                <c:pt idx="1">
                  <c:v>125</c:v>
                </c:pt>
                <c:pt idx="2">
                  <c:v>130</c:v>
                </c:pt>
                <c:pt idx="3">
                  <c:v>142</c:v>
                </c:pt>
                <c:pt idx="4">
                  <c:v>138</c:v>
                </c:pt>
                <c:pt idx="5">
                  <c:v>150</c:v>
                </c:pt>
                <c:pt idx="6">
                  <c:v>162</c:v>
                </c:pt>
                <c:pt idx="7">
                  <c:v>158</c:v>
                </c:pt>
                <c:pt idx="8">
                  <c:v>170</c:v>
                </c:pt>
                <c:pt idx="9">
                  <c:v>180</c:v>
                </c:pt>
                <c:pt idx="10">
                  <c:v>175</c:v>
                </c:pt>
                <c:pt idx="11">
                  <c:v>190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57C-4E51-BA84-1509522B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5577"/>
        <c:axId val="65434005"/>
      </c:scatterChart>
      <c:valAx>
        <c:axId val="3955577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8B6914"/>
            </a:solidFill>
            <a:prstDash val="solid"/>
          </a:ln>
        </c:spPr>
        <c:txPr>
          <a:bodyPr/>
          <a:lstStyle/>
          <a:p>
            <a:pPr>
              <a:defRPr sz="900" b="0" strike="noStrike" spc="-1">
                <a:solidFill>
                  <a:srgbClr val="58595B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65434005"/>
        <c:crosses val="autoZero"/>
        <c:crossBetween val="midCat"/>
      </c:valAx>
      <c:valAx>
        <c:axId val="6543400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8B6914"/>
            </a:solidFill>
            <a:prstDash val="solid"/>
          </a:ln>
        </c:spPr>
        <c:txPr>
          <a:bodyPr/>
          <a:lstStyle/>
          <a:p>
            <a:pPr>
              <a:defRPr sz="900" b="0" strike="noStrike" spc="-1">
                <a:solidFill>
                  <a:srgbClr val="58595B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3955577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ar-EG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ar-EG" sz="1800" b="1" strike="noStrike" spc="-1">
                <a:solidFill>
                  <a:srgbClr val="000000"/>
                </a:solidFill>
                <a:latin typeface="Calibri"/>
              </a:rPr>
              <a:t>الفعلي مقابل المتوقع عبر الفترات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الفعلي_مقابل_المتوقع!$C$3</c:f>
              <c:strCache>
                <c:ptCount val="1"/>
                <c:pt idx="0">
                  <c:v>Y الفعلي</c:v>
                </c:pt>
              </c:strCache>
            </c:strRef>
          </c:tx>
          <c:spPr>
            <a:ln w="24840">
              <a:solidFill>
                <a:srgbClr val="1A2E5E"/>
              </a:solidFill>
              <a:round/>
            </a:ln>
          </c:spPr>
          <c:marker>
            <c:symbol val="circle"/>
            <c:size val="6"/>
            <c:spPr>
              <a:solidFill>
                <a:srgbClr val="1A2E5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ar-EG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الفعلي_مقابل_المتوقع!$A$4:$A$15</c:f>
              <c:strCache>
                <c:ptCount val="12"/>
                <c:pt idx="0">
                  <c:v>الشهر 1</c:v>
                </c:pt>
                <c:pt idx="1">
                  <c:v>الشهر 2</c:v>
                </c:pt>
                <c:pt idx="2">
                  <c:v>الشهر 3</c:v>
                </c:pt>
                <c:pt idx="3">
                  <c:v>الشهر 4</c:v>
                </c:pt>
                <c:pt idx="4">
                  <c:v>الشهر 5</c:v>
                </c:pt>
                <c:pt idx="5">
                  <c:v>الشهر 6</c:v>
                </c:pt>
                <c:pt idx="6">
                  <c:v>الشهر 7</c:v>
                </c:pt>
                <c:pt idx="7">
                  <c:v>الشهر 8</c:v>
                </c:pt>
                <c:pt idx="8">
                  <c:v>الشهر 9</c:v>
                </c:pt>
                <c:pt idx="9">
                  <c:v>الشهر 10</c:v>
                </c:pt>
                <c:pt idx="10">
                  <c:v>الشهر 11</c:v>
                </c:pt>
                <c:pt idx="11">
                  <c:v>الشهر 12</c:v>
                </c:pt>
              </c:strCache>
            </c:strRef>
          </c:cat>
          <c:val>
            <c:numRef>
              <c:f>الفعلي_مقابل_المتوقع!$C$4:$C$15</c:f>
              <c:numCache>
                <c:formatCode>0.00</c:formatCode>
                <c:ptCount val="12"/>
                <c:pt idx="0">
                  <c:v>118</c:v>
                </c:pt>
                <c:pt idx="1">
                  <c:v>125</c:v>
                </c:pt>
                <c:pt idx="2">
                  <c:v>130</c:v>
                </c:pt>
                <c:pt idx="3">
                  <c:v>142</c:v>
                </c:pt>
                <c:pt idx="4">
                  <c:v>138</c:v>
                </c:pt>
                <c:pt idx="5">
                  <c:v>150</c:v>
                </c:pt>
                <c:pt idx="6">
                  <c:v>162</c:v>
                </c:pt>
                <c:pt idx="7">
                  <c:v>158</c:v>
                </c:pt>
                <c:pt idx="8">
                  <c:v>170</c:v>
                </c:pt>
                <c:pt idx="9">
                  <c:v>180</c:v>
                </c:pt>
                <c:pt idx="10">
                  <c:v>175</c:v>
                </c:pt>
                <c:pt idx="11">
                  <c:v>190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37-4E60-BEF9-B7D1F665C21B}"/>
            </c:ext>
          </c:extLst>
        </c:ser>
        <c:ser>
          <c:idx val="1"/>
          <c:order val="1"/>
          <c:tx>
            <c:strRef>
              <c:f>الفعلي_مقابل_المتوقع!$D$3</c:f>
              <c:strCache>
                <c:ptCount val="1"/>
                <c:pt idx="0">
                  <c:v>Y المتوقع</c:v>
                </c:pt>
              </c:strCache>
            </c:strRef>
          </c:tx>
          <c:spPr>
            <a:ln w="24840">
              <a:solidFill>
                <a:srgbClr val="C8A84B"/>
              </a:solidFill>
              <a:prstDash val="dash"/>
              <a:round/>
            </a:ln>
          </c:spPr>
          <c:marker>
            <c:symbol val="diamond"/>
            <c:size val="6"/>
            <c:spPr>
              <a:solidFill>
                <a:srgbClr val="C8A84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ar-EG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الفعلي_مقابل_المتوقع!$A$4:$A$15</c:f>
              <c:strCache>
                <c:ptCount val="12"/>
                <c:pt idx="0">
                  <c:v>الشهر 1</c:v>
                </c:pt>
                <c:pt idx="1">
                  <c:v>الشهر 2</c:v>
                </c:pt>
                <c:pt idx="2">
                  <c:v>الشهر 3</c:v>
                </c:pt>
                <c:pt idx="3">
                  <c:v>الشهر 4</c:v>
                </c:pt>
                <c:pt idx="4">
                  <c:v>الشهر 5</c:v>
                </c:pt>
                <c:pt idx="5">
                  <c:v>الشهر 6</c:v>
                </c:pt>
                <c:pt idx="6">
                  <c:v>الشهر 7</c:v>
                </c:pt>
                <c:pt idx="7">
                  <c:v>الشهر 8</c:v>
                </c:pt>
                <c:pt idx="8">
                  <c:v>الشهر 9</c:v>
                </c:pt>
                <c:pt idx="9">
                  <c:v>الشهر 10</c:v>
                </c:pt>
                <c:pt idx="10">
                  <c:v>الشهر 11</c:v>
                </c:pt>
                <c:pt idx="11">
                  <c:v>الشهر 12</c:v>
                </c:pt>
              </c:strCache>
            </c:strRef>
          </c:cat>
          <c:val>
            <c:numRef>
              <c:f>الفعلي_مقابل_المتوقع!$D$4:$D$15</c:f>
              <c:numCache>
                <c:formatCode>0.00</c:formatCode>
                <c:ptCount val="12"/>
                <c:pt idx="0">
                  <c:v>118.47435897435896</c:v>
                </c:pt>
                <c:pt idx="1">
                  <c:v>124.78205128205127</c:v>
                </c:pt>
                <c:pt idx="2">
                  <c:v>131.08974358974359</c:v>
                </c:pt>
                <c:pt idx="3">
                  <c:v>137.39743589743588</c:v>
                </c:pt>
                <c:pt idx="4">
                  <c:v>143.7051282051282</c:v>
                </c:pt>
                <c:pt idx="5">
                  <c:v>150.0128205128205</c:v>
                </c:pt>
                <c:pt idx="6">
                  <c:v>156.32051282051282</c:v>
                </c:pt>
                <c:pt idx="7">
                  <c:v>162.62820512820511</c:v>
                </c:pt>
                <c:pt idx="8">
                  <c:v>168.93589743589743</c:v>
                </c:pt>
                <c:pt idx="9">
                  <c:v>175.24358974358972</c:v>
                </c:pt>
                <c:pt idx="10">
                  <c:v>181.55128205128204</c:v>
                </c:pt>
                <c:pt idx="11">
                  <c:v>187.85897435897436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37-4E60-BEF9-B7D1F665C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37182009"/>
        <c:axId val="37286839"/>
      </c:lineChart>
      <c:catAx>
        <c:axId val="3718200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B6914"/>
            </a:solidFill>
            <a:prstDash val="solid"/>
          </a:ln>
        </c:spPr>
        <c:txPr>
          <a:bodyPr rot="2700000" vert="horz"/>
          <a:lstStyle/>
          <a:p>
            <a:pPr>
              <a:defRPr sz="900" b="0" strike="noStrike" spc="-1">
                <a:solidFill>
                  <a:srgbClr val="58595B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37286839"/>
        <c:crosses val="autoZero"/>
        <c:auto val="1"/>
        <c:lblAlgn val="ctr"/>
        <c:lblOffset val="100"/>
        <c:noMultiLvlLbl val="0"/>
      </c:catAx>
      <c:valAx>
        <c:axId val="372868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0" sourceLinked="1"/>
        <c:majorTickMark val="none"/>
        <c:minorTickMark val="none"/>
        <c:tickLblPos val="nextTo"/>
        <c:spPr>
          <a:ln w="12700">
            <a:solidFill>
              <a:srgbClr val="8B6914"/>
            </a:solidFill>
            <a:prstDash val="solid"/>
          </a:ln>
        </c:spPr>
        <c:txPr>
          <a:bodyPr/>
          <a:lstStyle/>
          <a:p>
            <a:pPr>
              <a:defRPr sz="900" b="0" strike="noStrike" spc="-1">
                <a:solidFill>
                  <a:srgbClr val="58595B"/>
                </a:solidFill>
                <a:latin typeface="Calibri"/>
              </a:defRPr>
            </a:pPr>
            <a:endParaRPr lang="ar-EG"/>
          </a:p>
        </c:txPr>
        <c:crossAx val="3718200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ar-EG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-110880</xdr:colOff>
      <xdr:row>13</xdr:row>
      <xdr:rowOff>0</xdr:rowOff>
    </xdr:from>
    <xdr:to>
      <xdr:col>11</xdr:col>
      <xdr:colOff>0</xdr:colOff>
      <xdr:row>30</xdr:row>
      <xdr:rowOff>181080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-110880</xdr:colOff>
      <xdr:row>32</xdr:row>
      <xdr:rowOff>0</xdr:rowOff>
    </xdr:from>
    <xdr:to>
      <xdr:col>11</xdr:col>
      <xdr:colOff>0</xdr:colOff>
      <xdr:row>49</xdr:row>
      <xdr:rowOff>181080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-204480</xdr:colOff>
      <xdr:row>16</xdr:row>
      <xdr:rowOff>0</xdr:rowOff>
    </xdr:from>
    <xdr:to>
      <xdr:col>7</xdr:col>
      <xdr:colOff>0</xdr:colOff>
      <xdr:row>33</xdr:row>
      <xdr:rowOff>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-65520</xdr:colOff>
      <xdr:row>10</xdr:row>
      <xdr:rowOff>0</xdr:rowOff>
    </xdr:from>
    <xdr:to>
      <xdr:col>6</xdr:col>
      <xdr:colOff>0</xdr:colOff>
      <xdr:row>27</xdr:row>
      <xdr:rowOff>1080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Input" displayName="tbl_Input" ref="A15:D27" totalsRowShown="0">
  <autoFilter ref="A15:D27" xr:uid="{00000000-0009-0000-0100-000001000000}"/>
  <tableColumns count="4">
    <tableColumn id="1" xr3:uid="{00000000-0010-0000-0000-000001000000}" name="م"/>
    <tableColumn id="2" xr3:uid="{00000000-0010-0000-0000-000002000000}" name="الفترة"/>
    <tableColumn id="3" xr3:uid="{00000000-0010-0000-0000-000003000000}" name="X"/>
    <tableColumn id="4" xr3:uid="{00000000-0010-0000-0000-000004000000}" name="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96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78ADDAD-B5A7-4D52-8FE8-F6FB1BE2AE8E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5c7f63a0-9a08-4f64-a5d9-24ca7e3c1980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showGridLines="0" rightToLeft="1" topLeftCell="A12" zoomScaleNormal="100" workbookViewId="0">
      <selection activeCell="F17" sqref="F17"/>
    </sheetView>
  </sheetViews>
  <sheetFormatPr defaultColWidth="8.6328125" defaultRowHeight="14.5"/>
  <cols>
    <col min="1" max="1" width="100" customWidth="1"/>
  </cols>
  <sheetData>
    <row r="1" spans="1:1" ht="30" customHeight="1">
      <c r="A1" s="38" t="s">
        <v>0</v>
      </c>
    </row>
    <row r="2" spans="1:1" ht="30" customHeight="1">
      <c r="A2" s="38"/>
    </row>
    <row r="4" spans="1:1" ht="21.75" customHeight="1">
      <c r="A4" s="1" t="s">
        <v>1</v>
      </c>
    </row>
    <row r="5" spans="1:1" ht="75" customHeight="1">
      <c r="A5" s="14" t="s">
        <v>2</v>
      </c>
    </row>
    <row r="6" spans="1:1" ht="21.75" customHeight="1">
      <c r="A6" s="1" t="s">
        <v>3</v>
      </c>
    </row>
    <row r="7" spans="1:1" ht="54.75" customHeight="1">
      <c r="A7" s="13" t="s">
        <v>4</v>
      </c>
    </row>
    <row r="8" spans="1:1" ht="21.75" customHeight="1">
      <c r="A8" s="1" t="s">
        <v>5</v>
      </c>
    </row>
    <row r="9" spans="1:1" ht="94.5" customHeight="1">
      <c r="A9" s="13" t="s">
        <v>6</v>
      </c>
    </row>
    <row r="10" spans="1:1" ht="21.75" customHeight="1">
      <c r="A10" s="1" t="s">
        <v>7</v>
      </c>
    </row>
    <row r="11" spans="1:1" ht="114.75" customHeight="1">
      <c r="A11" s="13" t="s">
        <v>8</v>
      </c>
    </row>
    <row r="12" spans="1:1" ht="21.75" customHeight="1">
      <c r="A12" s="1" t="s">
        <v>9</v>
      </c>
    </row>
    <row r="13" spans="1:1" ht="54.75" customHeight="1">
      <c r="A13" s="13" t="s">
        <v>162</v>
      </c>
    </row>
    <row r="14" spans="1:1" ht="21.75" customHeight="1">
      <c r="A14" s="1" t="s">
        <v>10</v>
      </c>
    </row>
    <row r="15" spans="1:1" ht="64.5" customHeight="1">
      <c r="A15" s="13" t="s">
        <v>11</v>
      </c>
    </row>
    <row r="16" spans="1:1" ht="21.75" customHeight="1">
      <c r="A16" s="1" t="s">
        <v>12</v>
      </c>
    </row>
    <row r="17" spans="1:1" ht="69.75" customHeight="1">
      <c r="A17" s="13" t="s">
        <v>13</v>
      </c>
    </row>
    <row r="18" spans="1:1" ht="21.75" customHeight="1">
      <c r="A18" s="1" t="s">
        <v>14</v>
      </c>
    </row>
    <row r="19" spans="1:1" ht="69.75" customHeight="1">
      <c r="A19" s="13" t="s">
        <v>15</v>
      </c>
    </row>
    <row r="20" spans="1:1" ht="21.75" customHeight="1">
      <c r="A20" s="1" t="s">
        <v>16</v>
      </c>
    </row>
    <row r="21" spans="1:1" ht="54.75" customHeight="1">
      <c r="A21" s="2" t="s">
        <v>17</v>
      </c>
    </row>
    <row r="22" spans="1:1" ht="21.75" customHeight="1">
      <c r="A22" s="1" t="s">
        <v>18</v>
      </c>
    </row>
    <row r="23" spans="1:1" ht="129.75" customHeight="1">
      <c r="A23" s="2" t="s">
        <v>19</v>
      </c>
    </row>
    <row r="24" spans="1:1" ht="21.75" customHeight="1">
      <c r="A24" s="1" t="s">
        <v>20</v>
      </c>
    </row>
    <row r="25" spans="1:1" ht="33.75" customHeight="1">
      <c r="A25" s="1" t="s">
        <v>21</v>
      </c>
    </row>
    <row r="27" spans="1:1" ht="21.75" customHeight="1">
      <c r="A27" s="1" t="s">
        <v>22</v>
      </c>
    </row>
    <row r="28" spans="1:1" ht="60" customHeight="1">
      <c r="A28" s="13" t="s">
        <v>23</v>
      </c>
    </row>
  </sheetData>
  <sheetProtection algorithmName="SHA-512" hashValue="nW+o2OLoLpKMmjkYs7mdEBdH3Rm1eNZ0q0CEDKeLHuoAfNB1u0eOmLfwp2zdgHbdXp1nNUpsMtM2/S2OpxbUSA==" saltValue="kwnMHCHyROnkRXbAjyqFIA==" spinCount="100000" sheet="1"/>
  <mergeCells count="1">
    <mergeCell ref="A1:A2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"/>
  <sheetViews>
    <sheetView showGridLines="0" rightToLeft="1" zoomScaleNormal="100" workbookViewId="0">
      <selection activeCell="J9" sqref="J9"/>
    </sheetView>
  </sheetViews>
  <sheetFormatPr defaultColWidth="8.6328125" defaultRowHeight="14.5"/>
  <cols>
    <col min="1" max="1" width="34" customWidth="1"/>
    <col min="2" max="2" width="22" customWidth="1"/>
    <col min="3" max="4" width="14" customWidth="1"/>
  </cols>
  <sheetData>
    <row r="1" spans="1:4" ht="25.5" customHeight="1">
      <c r="A1" s="36" t="s">
        <v>141</v>
      </c>
      <c r="B1" s="36"/>
      <c r="C1" s="36"/>
      <c r="D1" s="36"/>
    </row>
    <row r="3" spans="1:4" ht="15" customHeight="1">
      <c r="A3" s="3" t="s">
        <v>142</v>
      </c>
      <c r="B3" s="51" t="s">
        <v>24</v>
      </c>
      <c r="C3" s="51"/>
      <c r="D3" s="51"/>
    </row>
    <row r="4" spans="1:4" ht="15" customHeight="1">
      <c r="A4" s="3" t="s">
        <v>143</v>
      </c>
      <c r="B4" s="51" t="s">
        <v>144</v>
      </c>
      <c r="C4" s="51"/>
      <c r="D4" s="51"/>
    </row>
    <row r="5" spans="1:4">
      <c r="A5" s="3" t="s">
        <v>145</v>
      </c>
      <c r="B5" s="28" t="s">
        <v>146</v>
      </c>
      <c r="C5" s="26"/>
      <c r="D5" s="26"/>
    </row>
    <row r="6" spans="1:4">
      <c r="A6" s="3" t="s">
        <v>147</v>
      </c>
      <c r="B6" s="52"/>
      <c r="C6" s="52"/>
      <c r="D6" s="52"/>
    </row>
    <row r="8" spans="1:4" ht="19.5" customHeight="1">
      <c r="A8" s="33" t="s">
        <v>148</v>
      </c>
      <c r="B8" s="33"/>
      <c r="C8" s="33"/>
      <c r="D8" s="33"/>
    </row>
    <row r="9" spans="1:4">
      <c r="A9" s="3" t="s">
        <v>149</v>
      </c>
      <c r="B9" s="29">
        <v>0.05</v>
      </c>
    </row>
    <row r="10" spans="1:4">
      <c r="A10" s="3" t="s">
        <v>150</v>
      </c>
      <c r="B10" s="30">
        <v>5</v>
      </c>
    </row>
    <row r="12" spans="1:4" ht="19.5" customHeight="1">
      <c r="A12" s="33" t="s">
        <v>151</v>
      </c>
      <c r="B12" s="33"/>
      <c r="C12" s="33"/>
      <c r="D12" s="33"/>
    </row>
    <row r="13" spans="1:4">
      <c r="A13" s="3" t="s">
        <v>152</v>
      </c>
      <c r="B13" s="29">
        <v>0.3</v>
      </c>
    </row>
    <row r="14" spans="1:4">
      <c r="A14" s="3" t="s">
        <v>153</v>
      </c>
      <c r="B14" s="29">
        <v>0.7</v>
      </c>
    </row>
    <row r="16" spans="1:4" ht="19.5" customHeight="1">
      <c r="A16" s="33" t="s">
        <v>154</v>
      </c>
      <c r="B16" s="33"/>
      <c r="C16" s="33"/>
      <c r="D16" s="33"/>
    </row>
    <row r="17" spans="1:4">
      <c r="A17" s="3" t="s">
        <v>155</v>
      </c>
      <c r="B17" s="31">
        <v>0.5</v>
      </c>
    </row>
    <row r="18" spans="1:4">
      <c r="A18" s="3" t="s">
        <v>156</v>
      </c>
      <c r="B18" s="31">
        <v>0.8</v>
      </c>
    </row>
    <row r="20" spans="1:4" ht="48" customHeight="1">
      <c r="A20" s="34" t="s">
        <v>157</v>
      </c>
      <c r="B20" s="34"/>
      <c r="C20" s="34"/>
      <c r="D20" s="34"/>
    </row>
  </sheetData>
  <mergeCells count="8">
    <mergeCell ref="A12:D12"/>
    <mergeCell ref="A16:D16"/>
    <mergeCell ref="A20:D20"/>
    <mergeCell ref="A1:D1"/>
    <mergeCell ref="B3:D3"/>
    <mergeCell ref="B4:D4"/>
    <mergeCell ref="B6:D6"/>
    <mergeCell ref="A8:D8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7"/>
  <sheetViews>
    <sheetView showGridLines="0" rightToLeft="1" zoomScaleNormal="100" workbookViewId="0"/>
  </sheetViews>
  <sheetFormatPr defaultColWidth="8.6328125" defaultRowHeight="14.5"/>
  <sheetData>
    <row r="1" spans="1:4">
      <c r="A1" s="12" t="s">
        <v>57</v>
      </c>
      <c r="B1" t="s">
        <v>58</v>
      </c>
      <c r="C1" s="12" t="s">
        <v>158</v>
      </c>
      <c r="D1" s="12" t="s">
        <v>159</v>
      </c>
    </row>
    <row r="2" spans="1:4">
      <c r="A2" t="str">
        <f>INDEX(tbl_Input[الفترة],1)</f>
        <v>الشهر 1</v>
      </c>
      <c r="B2">
        <f>INDEX(tbl_Input[X],1)</f>
        <v>1</v>
      </c>
      <c r="C2">
        <f>INDEX(tbl_Input[Y],1)</f>
        <v>118</v>
      </c>
      <c r="D2">
        <f t="shared" ref="D2:D17" si="0">reg_a+reg_b*B2</f>
        <v>118.47435897435896</v>
      </c>
    </row>
    <row r="3" spans="1:4">
      <c r="A3" t="str">
        <f>INDEX(tbl_Input[الفترة],2)</f>
        <v>الشهر 2</v>
      </c>
      <c r="B3">
        <f>INDEX(tbl_Input[X],2)</f>
        <v>2</v>
      </c>
      <c r="C3">
        <f>INDEX(tbl_Input[Y],2)</f>
        <v>125</v>
      </c>
      <c r="D3">
        <f t="shared" si="0"/>
        <v>124.78205128205127</v>
      </c>
    </row>
    <row r="4" spans="1:4">
      <c r="A4" t="str">
        <f>INDEX(tbl_Input[الفترة],3)</f>
        <v>الشهر 3</v>
      </c>
      <c r="B4">
        <f>INDEX(tbl_Input[X],3)</f>
        <v>3</v>
      </c>
      <c r="C4">
        <f>INDEX(tbl_Input[Y],3)</f>
        <v>130</v>
      </c>
      <c r="D4">
        <f t="shared" si="0"/>
        <v>131.08974358974359</v>
      </c>
    </row>
    <row r="5" spans="1:4">
      <c r="A5" t="str">
        <f>INDEX(tbl_Input[الفترة],4)</f>
        <v>الشهر 4</v>
      </c>
      <c r="B5">
        <f>INDEX(tbl_Input[X],4)</f>
        <v>4</v>
      </c>
      <c r="C5">
        <f>INDEX(tbl_Input[Y],4)</f>
        <v>142</v>
      </c>
      <c r="D5">
        <f t="shared" si="0"/>
        <v>137.39743589743588</v>
      </c>
    </row>
    <row r="6" spans="1:4">
      <c r="A6" t="str">
        <f>INDEX(tbl_Input[الفترة],5)</f>
        <v>الشهر 5</v>
      </c>
      <c r="B6">
        <f>INDEX(tbl_Input[X],5)</f>
        <v>5</v>
      </c>
      <c r="C6">
        <f>INDEX(tbl_Input[Y],5)</f>
        <v>138</v>
      </c>
      <c r="D6">
        <f t="shared" si="0"/>
        <v>143.7051282051282</v>
      </c>
    </row>
    <row r="7" spans="1:4">
      <c r="A7" t="str">
        <f>INDEX(tbl_Input[الفترة],6)</f>
        <v>الشهر 6</v>
      </c>
      <c r="B7">
        <f>INDEX(tbl_Input[X],6)</f>
        <v>6</v>
      </c>
      <c r="C7">
        <f>INDEX(tbl_Input[Y],6)</f>
        <v>150</v>
      </c>
      <c r="D7">
        <f t="shared" si="0"/>
        <v>150.0128205128205</v>
      </c>
    </row>
    <row r="8" spans="1:4">
      <c r="A8" t="str">
        <f>INDEX(tbl_Input[الفترة],7)</f>
        <v>الشهر 7</v>
      </c>
      <c r="B8">
        <f>INDEX(tbl_Input[X],7)</f>
        <v>7</v>
      </c>
      <c r="C8">
        <f>INDEX(tbl_Input[Y],7)</f>
        <v>162</v>
      </c>
      <c r="D8">
        <f t="shared" si="0"/>
        <v>156.32051282051282</v>
      </c>
    </row>
    <row r="9" spans="1:4">
      <c r="A9" t="str">
        <f>INDEX(tbl_Input[الفترة],8)</f>
        <v>الشهر 8</v>
      </c>
      <c r="B9">
        <f>INDEX(tbl_Input[X],8)</f>
        <v>8</v>
      </c>
      <c r="C9">
        <f>INDEX(tbl_Input[Y],8)</f>
        <v>158</v>
      </c>
      <c r="D9">
        <f t="shared" si="0"/>
        <v>162.62820512820511</v>
      </c>
    </row>
    <row r="10" spans="1:4">
      <c r="A10" t="str">
        <f>INDEX(tbl_Input[الفترة],9)</f>
        <v>الشهر 9</v>
      </c>
      <c r="B10">
        <f>INDEX(tbl_Input[X],9)</f>
        <v>9</v>
      </c>
      <c r="C10">
        <f>INDEX(tbl_Input[Y],9)</f>
        <v>170</v>
      </c>
      <c r="D10">
        <f t="shared" si="0"/>
        <v>168.93589743589743</v>
      </c>
    </row>
    <row r="11" spans="1:4">
      <c r="A11" t="str">
        <f>INDEX(tbl_Input[الفترة],10)</f>
        <v>الشهر 10</v>
      </c>
      <c r="B11">
        <f>INDEX(tbl_Input[X],10)</f>
        <v>10</v>
      </c>
      <c r="C11">
        <f>INDEX(tbl_Input[Y],10)</f>
        <v>180</v>
      </c>
      <c r="D11">
        <f t="shared" si="0"/>
        <v>175.24358974358972</v>
      </c>
    </row>
    <row r="12" spans="1:4">
      <c r="A12" t="str">
        <f>INDEX(tbl_Input[الفترة],11)</f>
        <v>الشهر 11</v>
      </c>
      <c r="B12">
        <f>INDEX(tbl_Input[X],11)</f>
        <v>11</v>
      </c>
      <c r="C12">
        <f>INDEX(tbl_Input[Y],11)</f>
        <v>175</v>
      </c>
      <c r="D12">
        <f t="shared" si="0"/>
        <v>181.55128205128204</v>
      </c>
    </row>
    <row r="13" spans="1:4">
      <c r="A13" t="str">
        <f>INDEX(tbl_Input[الفترة],12)</f>
        <v>الشهر 12</v>
      </c>
      <c r="B13">
        <f>INDEX(tbl_Input[X],12)</f>
        <v>12</v>
      </c>
      <c r="C13">
        <f>INDEX(tbl_Input[Y],12)</f>
        <v>190</v>
      </c>
      <c r="D13">
        <f t="shared" si="0"/>
        <v>187.85897435897436</v>
      </c>
    </row>
    <row r="14" spans="1:4">
      <c r="A14" t="str">
        <f>التنبؤ_المستقبلي!A6</f>
        <v>الشهر 13</v>
      </c>
      <c r="B14">
        <f>التنبؤ_المستقبلي!B6</f>
        <v>13</v>
      </c>
      <c r="D14">
        <f t="shared" si="0"/>
        <v>194.16666666666666</v>
      </c>
    </row>
    <row r="15" spans="1:4">
      <c r="A15" t="str">
        <f>التنبؤ_المستقبلي!A7</f>
        <v>الشهر 14</v>
      </c>
      <c r="B15">
        <f>التنبؤ_المستقبلي!B7</f>
        <v>14</v>
      </c>
      <c r="D15">
        <f t="shared" si="0"/>
        <v>200.47435897435895</v>
      </c>
    </row>
    <row r="16" spans="1:4">
      <c r="A16" t="str">
        <f>التنبؤ_المستقبلي!A8</f>
        <v>الشهر 15</v>
      </c>
      <c r="B16">
        <f>التنبؤ_المستقبلي!B8</f>
        <v>15</v>
      </c>
      <c r="D16">
        <f t="shared" si="0"/>
        <v>206.78205128205127</v>
      </c>
    </row>
    <row r="17" spans="1:4">
      <c r="A17" t="str">
        <f>التنبؤ_المستقبلي!A9</f>
        <v>الشهر 16</v>
      </c>
      <c r="B17">
        <f>التنبؤ_المستقبلي!B9</f>
        <v>16</v>
      </c>
      <c r="D17">
        <f t="shared" si="0"/>
        <v>213.08974358974359</v>
      </c>
    </row>
  </sheetData>
  <sheetProtection algorithmName="SHA-512" hashValue="kgU2nNr/upxbpdGq4nFrkDaQdwPTjAy2Xjs+Q9GmMVeCm33YQxkWzZOvop+l210OGYVvsLj4hK5MZpuz3NhPUg==" saltValue="zgNlcJ3k2NRZSR0rDjBVVw==" spinCount="100000" sheet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showGridLines="0" rightToLeft="1" zoomScale="80" zoomScaleNormal="80" workbookViewId="0">
      <selection activeCell="R22" sqref="R22"/>
    </sheetView>
  </sheetViews>
  <sheetFormatPr defaultColWidth="8.6328125" defaultRowHeight="14.5"/>
  <cols>
    <col min="1" max="12" width="11" customWidth="1"/>
  </cols>
  <sheetData>
    <row r="1" spans="1:12" ht="36" customHeight="1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75" customHeight="1">
      <c r="A2" s="46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>
      <c r="A3" s="47" t="str">
        <f>dq_status</f>
        <v>✅ البيانات جاهزة للاعتماد عليها في التحليل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 ht="19.5" customHeight="1">
      <c r="A5" s="48" t="s">
        <v>26</v>
      </c>
      <c r="B5" s="48"/>
      <c r="C5" s="48" t="s">
        <v>27</v>
      </c>
      <c r="D5" s="48"/>
      <c r="E5" s="48" t="s">
        <v>28</v>
      </c>
      <c r="F5" s="48"/>
      <c r="G5" s="48" t="s">
        <v>29</v>
      </c>
      <c r="H5" s="48"/>
      <c r="I5" s="48" t="s">
        <v>30</v>
      </c>
      <c r="J5" s="48"/>
      <c r="K5" s="48" t="s">
        <v>31</v>
      </c>
      <c r="L5" s="48"/>
    </row>
    <row r="6" spans="1:12" ht="33.75" customHeight="1">
      <c r="A6" s="41">
        <f>reg_n</f>
        <v>12</v>
      </c>
      <c r="B6" s="41"/>
      <c r="C6" s="42">
        <f>rel_r</f>
        <v>0.98453645000460221</v>
      </c>
      <c r="D6" s="42"/>
      <c r="E6" s="43">
        <f>reg_r2</f>
        <v>0.96931202138766481</v>
      </c>
      <c r="F6" s="43"/>
      <c r="G6" s="44">
        <f>reg_p</f>
        <v>6.7853242339137781E-9</v>
      </c>
      <c r="H6" s="44"/>
      <c r="I6" s="39">
        <f>reg_b</f>
        <v>6.3076923076923075</v>
      </c>
      <c r="J6" s="39"/>
      <c r="K6" s="39">
        <f>fc_next</f>
        <v>194.16666666666666</v>
      </c>
      <c r="L6" s="39"/>
    </row>
    <row r="8" spans="1:12" ht="19.5" customHeight="1">
      <c r="A8" s="36" t="s">
        <v>32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2" ht="24" customHeight="1">
      <c r="A9" s="40" t="s">
        <v>160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24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24" customHeigh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3" spans="1:12" ht="19.5" customHeight="1">
      <c r="A13" s="33" t="s">
        <v>33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32" spans="1:12" ht="19.5" customHeight="1">
      <c r="A32" s="33" t="s">
        <v>34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sheetProtection algorithmName="SHA-512" hashValue="uQMJCbG2wj/T6Mru0egVjLjur9CXanII8+6/qR+fRbsZVmeANuaY72hw0Cl8Xj6LPHTmpkwnZRq5132NdLrB/g==" saltValue="D97UjD5l+07RNZpwqYyHsg==" spinCount="100000" sheet="1"/>
  <mergeCells count="19">
    <mergeCell ref="A1:L1"/>
    <mergeCell ref="A2:L2"/>
    <mergeCell ref="A3:L3"/>
    <mergeCell ref="A5:B5"/>
    <mergeCell ref="C5:D5"/>
    <mergeCell ref="E5:F5"/>
    <mergeCell ref="G5:H5"/>
    <mergeCell ref="I5:J5"/>
    <mergeCell ref="K5:L5"/>
    <mergeCell ref="K6:L6"/>
    <mergeCell ref="A8:L8"/>
    <mergeCell ref="A9:L11"/>
    <mergeCell ref="A13:L13"/>
    <mergeCell ref="A32:L32"/>
    <mergeCell ref="A6:B6"/>
    <mergeCell ref="C6:D6"/>
    <mergeCell ref="E6:F6"/>
    <mergeCell ref="G6:H6"/>
    <mergeCell ref="I6:J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showGridLines="0" rightToLeft="1" zoomScale="120" zoomScaleNormal="120" workbookViewId="0">
      <selection activeCell="H8" sqref="H8"/>
    </sheetView>
  </sheetViews>
  <sheetFormatPr defaultColWidth="8.6328125" defaultRowHeight="14.5"/>
  <cols>
    <col min="1" max="1" width="26" customWidth="1"/>
    <col min="2" max="2" width="22" customWidth="1"/>
    <col min="3" max="4" width="16" customWidth="1"/>
    <col min="5" max="5" width="3" customWidth="1"/>
    <col min="6" max="6" width="30" customWidth="1"/>
  </cols>
  <sheetData>
    <row r="1" spans="1:4" ht="30" customHeight="1">
      <c r="A1" s="36" t="s">
        <v>35</v>
      </c>
      <c r="B1" s="36"/>
      <c r="C1" s="36"/>
      <c r="D1" s="36"/>
    </row>
    <row r="3" spans="1:4" ht="15" customHeight="1">
      <c r="A3" s="3" t="s">
        <v>36</v>
      </c>
      <c r="B3" s="49" t="s">
        <v>37</v>
      </c>
      <c r="C3" s="49"/>
    </row>
    <row r="4" spans="1:4" ht="15" customHeight="1">
      <c r="A4" s="3" t="s">
        <v>38</v>
      </c>
      <c r="B4" s="49" t="s">
        <v>39</v>
      </c>
      <c r="C4" s="49"/>
    </row>
    <row r="5" spans="1:4" ht="15" customHeight="1">
      <c r="A5" s="3" t="s">
        <v>40</v>
      </c>
      <c r="B5" s="49" t="s">
        <v>41</v>
      </c>
      <c r="C5" s="49"/>
    </row>
    <row r="6" spans="1:4" ht="15" customHeight="1">
      <c r="A6" s="3" t="s">
        <v>42</v>
      </c>
      <c r="B6" s="49" t="s">
        <v>43</v>
      </c>
      <c r="C6" s="49"/>
    </row>
    <row r="7" spans="1:4" ht="15" customHeight="1">
      <c r="A7" s="3" t="s">
        <v>44</v>
      </c>
      <c r="B7" s="49" t="s">
        <v>45</v>
      </c>
      <c r="C7" s="49"/>
    </row>
    <row r="8" spans="1:4" ht="15" customHeight="1">
      <c r="A8" s="3" t="s">
        <v>46</v>
      </c>
      <c r="B8" s="49" t="s">
        <v>47</v>
      </c>
      <c r="C8" s="49"/>
    </row>
    <row r="9" spans="1:4" ht="15" customHeight="1">
      <c r="A9" s="3" t="s">
        <v>48</v>
      </c>
      <c r="B9" s="49" t="s">
        <v>49</v>
      </c>
      <c r="C9" s="49"/>
    </row>
    <row r="10" spans="1:4" ht="15" customHeight="1">
      <c r="A10" s="3" t="s">
        <v>50</v>
      </c>
      <c r="B10" s="49" t="s">
        <v>51</v>
      </c>
      <c r="C10" s="49"/>
    </row>
    <row r="11" spans="1:4" ht="15" customHeight="1">
      <c r="A11" s="3" t="s">
        <v>52</v>
      </c>
      <c r="B11" s="49" t="s">
        <v>53</v>
      </c>
      <c r="C11" s="49"/>
    </row>
    <row r="12" spans="1:4">
      <c r="A12" s="3" t="s">
        <v>54</v>
      </c>
      <c r="B12" s="49"/>
      <c r="C12" s="49"/>
    </row>
    <row r="13" spans="1:4" ht="43.5" customHeight="1">
      <c r="A13" s="34" t="s">
        <v>55</v>
      </c>
      <c r="B13" s="34"/>
      <c r="C13" s="34"/>
      <c r="D13" s="34"/>
    </row>
    <row r="15" spans="1:4">
      <c r="A15" s="4" t="s">
        <v>56</v>
      </c>
      <c r="B15" s="4" t="s">
        <v>57</v>
      </c>
      <c r="C15" s="4" t="s">
        <v>58</v>
      </c>
      <c r="D15" s="4" t="s">
        <v>59</v>
      </c>
    </row>
    <row r="16" spans="1:4">
      <c r="A16" s="5">
        <v>1</v>
      </c>
      <c r="B16" s="5" t="s">
        <v>60</v>
      </c>
      <c r="C16" s="6">
        <v>1</v>
      </c>
      <c r="D16" s="6">
        <v>118</v>
      </c>
    </row>
    <row r="17" spans="1:4">
      <c r="A17" s="5">
        <v>2</v>
      </c>
      <c r="B17" s="5" t="s">
        <v>61</v>
      </c>
      <c r="C17" s="6">
        <v>2</v>
      </c>
      <c r="D17" s="6">
        <v>125</v>
      </c>
    </row>
    <row r="18" spans="1:4">
      <c r="A18" s="5">
        <v>3</v>
      </c>
      <c r="B18" s="5" t="s">
        <v>62</v>
      </c>
      <c r="C18" s="6">
        <v>3</v>
      </c>
      <c r="D18" s="6">
        <v>130</v>
      </c>
    </row>
    <row r="19" spans="1:4">
      <c r="A19" s="5">
        <v>4</v>
      </c>
      <c r="B19" s="5" t="s">
        <v>63</v>
      </c>
      <c r="C19" s="6">
        <v>4</v>
      </c>
      <c r="D19" s="6">
        <v>142</v>
      </c>
    </row>
    <row r="20" spans="1:4">
      <c r="A20" s="5">
        <v>5</v>
      </c>
      <c r="B20" s="5" t="s">
        <v>64</v>
      </c>
      <c r="C20" s="6">
        <v>5</v>
      </c>
      <c r="D20" s="6">
        <v>138</v>
      </c>
    </row>
    <row r="21" spans="1:4">
      <c r="A21" s="5">
        <v>6</v>
      </c>
      <c r="B21" s="5" t="s">
        <v>65</v>
      </c>
      <c r="C21" s="6">
        <v>6</v>
      </c>
      <c r="D21" s="6">
        <v>150</v>
      </c>
    </row>
    <row r="22" spans="1:4">
      <c r="A22" s="5">
        <v>7</v>
      </c>
      <c r="B22" s="5" t="s">
        <v>66</v>
      </c>
      <c r="C22" s="6">
        <v>7</v>
      </c>
      <c r="D22" s="6">
        <v>162</v>
      </c>
    </row>
    <row r="23" spans="1:4">
      <c r="A23" s="5">
        <v>8</v>
      </c>
      <c r="B23" s="5" t="s">
        <v>67</v>
      </c>
      <c r="C23" s="6">
        <v>8</v>
      </c>
      <c r="D23" s="6">
        <v>158</v>
      </c>
    </row>
    <row r="24" spans="1:4">
      <c r="A24" s="5">
        <v>9</v>
      </c>
      <c r="B24" s="5" t="s">
        <v>68</v>
      </c>
      <c r="C24" s="6">
        <v>9</v>
      </c>
      <c r="D24" s="6">
        <v>170</v>
      </c>
    </row>
    <row r="25" spans="1:4">
      <c r="A25" s="5">
        <v>10</v>
      </c>
      <c r="B25" s="5" t="s">
        <v>69</v>
      </c>
      <c r="C25" s="6">
        <v>10</v>
      </c>
      <c r="D25" s="6">
        <v>180</v>
      </c>
    </row>
    <row r="26" spans="1:4">
      <c r="A26" s="5">
        <v>11</v>
      </c>
      <c r="B26" s="5" t="s">
        <v>70</v>
      </c>
      <c r="C26" s="6">
        <v>11</v>
      </c>
      <c r="D26" s="6">
        <v>175</v>
      </c>
    </row>
    <row r="27" spans="1:4">
      <c r="A27" s="5">
        <v>12</v>
      </c>
      <c r="B27" s="5" t="s">
        <v>71</v>
      </c>
      <c r="C27" s="6">
        <v>12</v>
      </c>
      <c r="D27" s="6">
        <v>190</v>
      </c>
    </row>
  </sheetData>
  <mergeCells count="12">
    <mergeCell ref="A1:D1"/>
    <mergeCell ref="B3:C3"/>
    <mergeCell ref="B4:C4"/>
    <mergeCell ref="B5:C5"/>
    <mergeCell ref="B6:C6"/>
    <mergeCell ref="B12:C12"/>
    <mergeCell ref="A13:D13"/>
    <mergeCell ref="B7:C7"/>
    <mergeCell ref="B8:C8"/>
    <mergeCell ref="B9:C9"/>
    <mergeCell ref="B10:C10"/>
    <mergeCell ref="B11:C11"/>
  </mergeCells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showGridLines="0" rightToLeft="1" zoomScaleNormal="100" workbookViewId="0">
      <selection activeCell="O18" sqref="O18"/>
    </sheetView>
  </sheetViews>
  <sheetFormatPr defaultColWidth="8.6328125" defaultRowHeight="14.5"/>
  <cols>
    <col min="1" max="1" width="30" customWidth="1"/>
    <col min="2" max="2" width="18" customWidth="1"/>
    <col min="3" max="3" width="3" customWidth="1"/>
    <col min="4" max="4" width="12" customWidth="1"/>
  </cols>
  <sheetData>
    <row r="1" spans="1:4" ht="30" customHeight="1">
      <c r="A1" s="36" t="s">
        <v>72</v>
      </c>
      <c r="B1" s="36"/>
      <c r="C1" s="36"/>
      <c r="D1" s="36"/>
    </row>
    <row r="3" spans="1:4">
      <c r="A3" s="3" t="s">
        <v>26</v>
      </c>
      <c r="B3" s="15">
        <f>COUNT(tbl_Input[X])</f>
        <v>12</v>
      </c>
    </row>
    <row r="4" spans="1:4">
      <c r="A4" s="3" t="s">
        <v>73</v>
      </c>
      <c r="B4" s="16">
        <f>MIN(tbl_Input[X])</f>
        <v>1</v>
      </c>
    </row>
    <row r="5" spans="1:4">
      <c r="A5" s="3" t="s">
        <v>74</v>
      </c>
      <c r="B5" s="16">
        <f>MAX(tbl_Input[X])</f>
        <v>12</v>
      </c>
    </row>
    <row r="6" spans="1:4">
      <c r="A6" s="3" t="s">
        <v>75</v>
      </c>
      <c r="B6" s="16">
        <f>AVERAGE(tbl_Input[X])</f>
        <v>6.5</v>
      </c>
    </row>
    <row r="7" spans="1:4">
      <c r="A7" s="3" t="s">
        <v>76</v>
      </c>
      <c r="B7" s="16">
        <f>MIN(tbl_Input[Y])</f>
        <v>118</v>
      </c>
    </row>
    <row r="8" spans="1:4">
      <c r="A8" s="3" t="s">
        <v>77</v>
      </c>
      <c r="B8" s="16">
        <f>MAX(tbl_Input[Y])</f>
        <v>190</v>
      </c>
    </row>
    <row r="9" spans="1:4">
      <c r="A9" s="3" t="s">
        <v>78</v>
      </c>
      <c r="B9" s="16">
        <f>AVERAGE(tbl_Input[Y])</f>
        <v>153.16666666666666</v>
      </c>
    </row>
    <row r="10" spans="1:4">
      <c r="A10" s="3" t="s">
        <v>79</v>
      </c>
      <c r="B10" s="16">
        <f>INDEX(tbl_Input[Y],1)</f>
        <v>118</v>
      </c>
    </row>
    <row r="11" spans="1:4">
      <c r="A11" s="3" t="s">
        <v>80</v>
      </c>
      <c r="B11" s="16">
        <f>INDEX(tbl_Input[Y],COUNT(tbl_Input[Y]))</f>
        <v>190</v>
      </c>
    </row>
    <row r="12" spans="1:4">
      <c r="A12" s="3" t="s">
        <v>81</v>
      </c>
      <c r="B12" s="17">
        <f>IF(B10=0,"غير قابل للحساب",(B11-B10)/B10)</f>
        <v>0.61016949152542377</v>
      </c>
    </row>
    <row r="13" spans="1:4">
      <c r="A13" s="3" t="s">
        <v>82</v>
      </c>
      <c r="B13" s="18" t="str">
        <f>IF(B11&gt;B10,"تصاعدي ↑",IF(B11&lt;B10,"تنازلي ↓","مستقر"))</f>
        <v>تصاعدي ↑</v>
      </c>
    </row>
    <row r="15" spans="1:4" ht="19.5" customHeight="1">
      <c r="A15" s="33" t="s">
        <v>83</v>
      </c>
      <c r="B15" s="33"/>
      <c r="C15" s="33"/>
      <c r="D15" s="33"/>
    </row>
  </sheetData>
  <sheetProtection algorithmName="SHA-512" hashValue="LgRLHP2hGn8o0Ejvexn/15Ykmx3g03ubRj/xcw4OmjYNkx//uc+gU5i8lJgXQS4lKDltV7jFGs/FqLt91kTzMQ==" saltValue="2Mk1B4hE568WmdrbNDkH9Q==" spinCount="100000" sheet="1"/>
  <mergeCells count="2">
    <mergeCell ref="A1:D1"/>
    <mergeCell ref="A15:D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showGridLines="0" rightToLeft="1" zoomScaleNormal="100" workbookViewId="0">
      <selection activeCell="J1" sqref="J1"/>
    </sheetView>
  </sheetViews>
  <sheetFormatPr defaultColWidth="8.6328125" defaultRowHeight="14.5"/>
  <cols>
    <col min="1" max="1" width="30" customWidth="1"/>
    <col min="2" max="2" width="22" customWidth="1"/>
    <col min="3" max="3" width="3" customWidth="1"/>
    <col min="4" max="9" width="12" customWidth="1"/>
  </cols>
  <sheetData>
    <row r="1" spans="1:4" ht="30" customHeight="1">
      <c r="A1" s="36" t="s">
        <v>84</v>
      </c>
      <c r="B1" s="36"/>
      <c r="C1" s="36"/>
      <c r="D1" s="36"/>
    </row>
    <row r="3" spans="1:4">
      <c r="A3" s="3" t="s">
        <v>85</v>
      </c>
      <c r="B3" s="19">
        <f>CORREL(tbl_Input[X],tbl_Input[Y])</f>
        <v>0.98453645000460221</v>
      </c>
    </row>
    <row r="4" spans="1:4">
      <c r="A4" s="3" t="s">
        <v>86</v>
      </c>
      <c r="B4" s="18" t="str">
        <f>IF(B3&gt;=0,"علاقة موجبة (طردية)","علاقة سالبة (عكسية)")</f>
        <v>علاقة موجبة (طردية)</v>
      </c>
    </row>
    <row r="5" spans="1:4">
      <c r="A5" s="3" t="s">
        <v>87</v>
      </c>
      <c r="B5" s="18" t="str">
        <f>IF(ABS(B3)&gt;=r_high,"علاقة قوية",IF(ABS(B3)&gt;=r_low,"علاقة متوسطة","علاقة ضعيفة"))</f>
        <v>علاقة قوية</v>
      </c>
    </row>
    <row r="7" spans="1:4" ht="43.5" customHeight="1">
      <c r="A7" s="34" t="s">
        <v>88</v>
      </c>
      <c r="B7" s="34"/>
      <c r="C7" s="34"/>
      <c r="D7" s="34"/>
    </row>
    <row r="9" spans="1:4" ht="19.5" customHeight="1">
      <c r="A9" s="33" t="s">
        <v>89</v>
      </c>
      <c r="B9" s="33"/>
      <c r="C9" s="33"/>
      <c r="D9" s="33"/>
    </row>
  </sheetData>
  <sheetProtection algorithmName="SHA-512" hashValue="srHgORpUSfalfk4GhQMPzP73jBr7+uoKJyEWewvkwrJ+I98Sk1Ky8SYCcl70TqjoPHWmLMOzPPY9+uaEIdDF/g==" saltValue="QVOmweBwNGO+R9Lh9QIVtg==" spinCount="100000" sheet="1"/>
  <mergeCells count="3">
    <mergeCell ref="A1:D1"/>
    <mergeCell ref="A7:D7"/>
    <mergeCell ref="A9:D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showGridLines="0" rightToLeft="1" zoomScaleNormal="100" workbookViewId="0">
      <selection activeCell="H1" sqref="H1"/>
    </sheetView>
  </sheetViews>
  <sheetFormatPr defaultColWidth="8.6328125" defaultRowHeight="14.5"/>
  <cols>
    <col min="1" max="1" width="34" customWidth="1"/>
    <col min="2" max="2" width="43.7265625" customWidth="1"/>
    <col min="3" max="3" width="8.7265625" customWidth="1"/>
    <col min="4" max="4" width="40" customWidth="1"/>
  </cols>
  <sheetData>
    <row r="1" spans="1:4" ht="30" customHeight="1">
      <c r="A1" s="36" t="s">
        <v>90</v>
      </c>
      <c r="B1" s="36"/>
      <c r="C1" s="36"/>
      <c r="D1" s="36"/>
    </row>
    <row r="3" spans="1:4" ht="19.5" customHeight="1">
      <c r="A3" s="33" t="s">
        <v>91</v>
      </c>
      <c r="B3" s="33"/>
    </row>
    <row r="4" spans="1:4">
      <c r="A4" s="3" t="s">
        <v>26</v>
      </c>
      <c r="B4" s="15">
        <f>COUNT(tbl_Input[X])</f>
        <v>12</v>
      </c>
    </row>
    <row r="5" spans="1:4">
      <c r="A5" s="3" t="s">
        <v>92</v>
      </c>
      <c r="B5" s="15">
        <f>B4-2</f>
        <v>10</v>
      </c>
    </row>
    <row r="7" spans="1:4" ht="19.5" customHeight="1">
      <c r="A7" s="33" t="s">
        <v>93</v>
      </c>
      <c r="B7" s="33"/>
    </row>
    <row r="8" spans="1:4">
      <c r="A8" s="3" t="s">
        <v>94</v>
      </c>
      <c r="B8" s="20">
        <f>SLOPE(tbl_Input[Y],tbl_Input[X])</f>
        <v>6.3076923076923075</v>
      </c>
      <c r="C8" s="21"/>
    </row>
    <row r="9" spans="1:4">
      <c r="A9" s="3" t="s">
        <v>95</v>
      </c>
      <c r="B9" s="20">
        <f>INTERCEPT(tbl_Input[Y],tbl_Input[X])</f>
        <v>112.16666666666666</v>
      </c>
      <c r="C9" s="21"/>
    </row>
    <row r="10" spans="1:4" ht="15.5">
      <c r="A10" s="3" t="s">
        <v>96</v>
      </c>
      <c r="B10" s="37" t="str">
        <f>"Y = "&amp;TEXT(B9,"0.00")&amp;IF(B8&gt;=0," + "," - ")&amp;TEXT(ABS(B8),"0.00")&amp;"X"</f>
        <v>Y = 112.17 + 6.31X</v>
      </c>
      <c r="C10" s="37"/>
    </row>
    <row r="12" spans="1:4" ht="19.5" customHeight="1">
      <c r="A12" s="33" t="s">
        <v>97</v>
      </c>
      <c r="B12" s="33"/>
    </row>
    <row r="13" spans="1:4">
      <c r="A13" s="22" t="s">
        <v>98</v>
      </c>
      <c r="B13" s="20">
        <f>STEYX(tbl_Input[Y],tbl_Input[X])</f>
        <v>4.2441513301036409</v>
      </c>
    </row>
    <row r="14" spans="1:4">
      <c r="A14" s="22" t="s">
        <v>99</v>
      </c>
      <c r="B14" s="20">
        <f>DEVSQ(tbl_Input[X])</f>
        <v>143</v>
      </c>
    </row>
    <row r="15" spans="1:4">
      <c r="A15" s="22" t="s">
        <v>100</v>
      </c>
      <c r="B15" s="20">
        <f>B13/SQRT(B14)</f>
        <v>0.35491376390601365</v>
      </c>
    </row>
    <row r="16" spans="1:4">
      <c r="A16" s="22" t="s">
        <v>101</v>
      </c>
      <c r="B16" s="20">
        <f>B8/B15</f>
        <v>17.772464607381856</v>
      </c>
    </row>
    <row r="17" spans="1:4">
      <c r="A17" s="22" t="s">
        <v>102</v>
      </c>
      <c r="B17" s="20">
        <f>TDIST(ABS(B16),B5,2)</f>
        <v>6.7853242339137781E-9</v>
      </c>
    </row>
    <row r="18" spans="1:4">
      <c r="A18" s="22" t="s">
        <v>103</v>
      </c>
      <c r="B18" s="16">
        <f>alpha</f>
        <v>0.05</v>
      </c>
    </row>
    <row r="19" spans="1:4" ht="33.75" customHeight="1">
      <c r="A19" s="3" t="s">
        <v>104</v>
      </c>
      <c r="B19" s="32" t="str">
        <f>IF(B17&lt;alpha,"توجد دلالة إحصائية على العلاقة الخطية بين المتغيرين وفق مستوى الدلالة المستخدم ("&amp;TEXT(alpha,"0.00")&amp;").","لا توجد أدلة إحصائية كافية على وجود علاقة خطية ذات دلالة وفق مستوى الدلالة المستخدم ("&amp;TEXT(alpha,"0.00")&amp;").")</f>
        <v>توجد دلالة إحصائية على العلاقة الخطية بين المتغيرين وفق مستوى الدلالة المستخدم (0.05).</v>
      </c>
      <c r="C19" s="32"/>
    </row>
    <row r="21" spans="1:4" ht="19.5" customHeight="1">
      <c r="A21" s="33" t="s">
        <v>28</v>
      </c>
      <c r="B21" s="33"/>
    </row>
    <row r="22" spans="1:4" ht="28" customHeight="1">
      <c r="A22" s="3" t="s">
        <v>105</v>
      </c>
      <c r="B22" s="17">
        <f>RSQ(tbl_Input[Y],tbl_Input[X])</f>
        <v>0.96931202138766481</v>
      </c>
      <c r="C22" s="21"/>
    </row>
    <row r="23" spans="1:4" ht="23.5" customHeight="1">
      <c r="A23" s="3" t="s">
        <v>106</v>
      </c>
      <c r="B23" s="32" t="str">
        <f>"النموذج يفسر حوالي "&amp;TEXT(B22,"0%")&amp;" من التباين في النتيجة Y ضمن البيانات المستخدمة."</f>
        <v>النموذج يفسر حوالي 97% من التباين في النتيجة Y ضمن البيانات المستخدمة.</v>
      </c>
      <c r="C23" s="32"/>
    </row>
    <row r="24" spans="1:4">
      <c r="A24" s="3" t="s">
        <v>107</v>
      </c>
      <c r="B24" s="18" t="s">
        <v>161</v>
      </c>
      <c r="C24" s="21"/>
    </row>
    <row r="26" spans="1:4" ht="48" customHeight="1">
      <c r="A26" s="34" t="s">
        <v>108</v>
      </c>
      <c r="B26" s="34"/>
      <c r="C26" s="34"/>
      <c r="D26" s="34"/>
    </row>
    <row r="28" spans="1:4" ht="43.5" customHeight="1">
      <c r="A28" s="35" t="s">
        <v>109</v>
      </c>
      <c r="B28" s="35"/>
      <c r="C28" s="35"/>
      <c r="D28" s="35"/>
    </row>
  </sheetData>
  <sheetProtection algorithmName="SHA-512" hashValue="oGyq96LMbedtpW9vuwi4XqxfuLuVnvDn+v5hWa1QMRZ/tpkreMcQ7wpJyUEN+/VWOf85DiJYSVUK/Y9CtWeeaw==" saltValue="518TQfvoKEMYrPU/MNJpXg==" spinCount="100000" sheet="1"/>
  <mergeCells count="10">
    <mergeCell ref="A1:D1"/>
    <mergeCell ref="A3:B3"/>
    <mergeCell ref="A7:B7"/>
    <mergeCell ref="B10:C10"/>
    <mergeCell ref="A12:B12"/>
    <mergeCell ref="B19:C19"/>
    <mergeCell ref="A21:B21"/>
    <mergeCell ref="B23:C23"/>
    <mergeCell ref="A26:D26"/>
    <mergeCell ref="A28:D28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"/>
  <sheetViews>
    <sheetView showGridLines="0" rightToLeft="1" zoomScaleNormal="100" workbookViewId="0">
      <selection activeCell="K3" sqref="K3"/>
    </sheetView>
  </sheetViews>
  <sheetFormatPr defaultColWidth="8.6328125" defaultRowHeight="14.5"/>
  <cols>
    <col min="1" max="1" width="22" customWidth="1"/>
    <col min="2" max="3" width="16" customWidth="1"/>
    <col min="4" max="4" width="30" customWidth="1"/>
  </cols>
  <sheetData>
    <row r="1" spans="1:4" ht="30" customHeight="1">
      <c r="A1" s="36" t="s">
        <v>110</v>
      </c>
      <c r="B1" s="36"/>
      <c r="C1" s="36"/>
      <c r="D1" s="36"/>
    </row>
    <row r="3" spans="1:4" ht="33.75" customHeight="1">
      <c r="A3" s="34" t="s">
        <v>111</v>
      </c>
      <c r="B3" s="34"/>
      <c r="C3" s="34"/>
      <c r="D3" s="34"/>
    </row>
    <row r="5" spans="1:4">
      <c r="A5" s="4" t="s">
        <v>112</v>
      </c>
      <c r="B5" s="4" t="s">
        <v>113</v>
      </c>
      <c r="C5" s="4" t="s">
        <v>114</v>
      </c>
      <c r="D5" s="4" t="s">
        <v>115</v>
      </c>
    </row>
    <row r="6" spans="1:4">
      <c r="A6" s="8" t="s">
        <v>116</v>
      </c>
      <c r="B6" s="6">
        <v>13</v>
      </c>
      <c r="C6" s="9">
        <f>FORECAST(B6,tbl_Input[Y],tbl_Input[X])</f>
        <v>194.16666666666666</v>
      </c>
      <c r="D6" s="8" t="str">
        <f>IF(OR(B6&gt;MAX(tbl_Input[X]),B6&lt;MIN(tbl_Input[X])),"⚠ خارج النطاق التاريخي - نتيجة أكثر خطورة","✅ ضمن النطاق التاريخي")</f>
        <v>⚠ خارج النطاق التاريخي - نتيجة أكثر خطورة</v>
      </c>
    </row>
    <row r="7" spans="1:4">
      <c r="A7" s="8" t="s">
        <v>117</v>
      </c>
      <c r="B7" s="6">
        <v>14</v>
      </c>
      <c r="C7" s="9">
        <f>FORECAST(B7,tbl_Input[Y],tbl_Input[X])</f>
        <v>200.47435897435895</v>
      </c>
      <c r="D7" s="8" t="str">
        <f>IF(OR(B7&gt;MAX(tbl_Input[X]),B7&lt;MIN(tbl_Input[X])),"⚠ خارج النطاق التاريخي - نتيجة أكثر خطورة","✅ ضمن النطاق التاريخي")</f>
        <v>⚠ خارج النطاق التاريخي - نتيجة أكثر خطورة</v>
      </c>
    </row>
    <row r="8" spans="1:4">
      <c r="A8" s="8" t="s">
        <v>118</v>
      </c>
      <c r="B8" s="6">
        <v>15</v>
      </c>
      <c r="C8" s="9">
        <f>FORECAST(B8,tbl_Input[Y],tbl_Input[X])</f>
        <v>206.78205128205127</v>
      </c>
      <c r="D8" s="8" t="str">
        <f>IF(OR(B8&gt;MAX(tbl_Input[X]),B8&lt;MIN(tbl_Input[X])),"⚠ خارج النطاق التاريخي - نتيجة أكثر خطورة","✅ ضمن النطاق التاريخي")</f>
        <v>⚠ خارج النطاق التاريخي - نتيجة أكثر خطورة</v>
      </c>
    </row>
    <row r="9" spans="1:4">
      <c r="A9" s="8" t="s">
        <v>119</v>
      </c>
      <c r="B9" s="6">
        <v>16</v>
      </c>
      <c r="C9" s="9">
        <f>FORECAST(B9,tbl_Input[Y],tbl_Input[X])</f>
        <v>213.08974358974359</v>
      </c>
      <c r="D9" s="8" t="str">
        <f>IF(OR(B9&gt;MAX(tbl_Input[X]),B9&lt;MIN(tbl_Input[X])),"⚠ خارج النطاق التاريخي - نتيجة أكثر خطورة","✅ ضمن النطاق التاريخي")</f>
        <v>⚠ خارج النطاق التاريخي - نتيجة أكثر خطورة</v>
      </c>
    </row>
    <row r="11" spans="1:4" ht="26">
      <c r="A11" s="22" t="s">
        <v>120</v>
      </c>
      <c r="B11" s="50">
        <f>FORECAST(MAX(tbl_Input[X])+1,tbl_Input[Y],tbl_Input[X])</f>
        <v>194.16666666666666</v>
      </c>
      <c r="C11" s="50"/>
    </row>
    <row r="13" spans="1:4" ht="43.5" customHeight="1">
      <c r="A13" s="34" t="s">
        <v>121</v>
      </c>
      <c r="B13" s="34"/>
      <c r="C13" s="34"/>
      <c r="D13" s="34"/>
    </row>
  </sheetData>
  <mergeCells count="4">
    <mergeCell ref="A1:D1"/>
    <mergeCell ref="A3:D3"/>
    <mergeCell ref="B11:C11"/>
    <mergeCell ref="A13:D13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"/>
  <sheetViews>
    <sheetView showGridLines="0" rightToLeft="1" zoomScaleNormal="100" workbookViewId="0">
      <selection activeCell="K1" sqref="K1"/>
    </sheetView>
  </sheetViews>
  <sheetFormatPr defaultColWidth="8.6328125" defaultRowHeight="14.5"/>
  <cols>
    <col min="1" max="1" width="14" customWidth="1"/>
    <col min="2" max="3" width="16" customWidth="1"/>
    <col min="4" max="6" width="14" customWidth="1"/>
  </cols>
  <sheetData>
    <row r="1" spans="1:6" ht="30" customHeight="1">
      <c r="A1" s="36" t="s">
        <v>122</v>
      </c>
      <c r="B1" s="36"/>
      <c r="C1" s="36"/>
      <c r="D1" s="36"/>
      <c r="E1" s="36"/>
      <c r="F1" s="36"/>
    </row>
    <row r="3" spans="1:6">
      <c r="A3" s="4" t="s">
        <v>57</v>
      </c>
      <c r="B3" s="4" t="s">
        <v>58</v>
      </c>
      <c r="C3" s="4" t="s">
        <v>123</v>
      </c>
      <c r="D3" s="4" t="s">
        <v>114</v>
      </c>
      <c r="E3" s="4" t="s">
        <v>124</v>
      </c>
      <c r="F3" s="4" t="s">
        <v>125</v>
      </c>
    </row>
    <row r="4" spans="1:6">
      <c r="A4" s="8" t="str">
        <f>INDEX(tbl_Input[الفترة],1)</f>
        <v>الشهر 1</v>
      </c>
      <c r="B4" s="9">
        <f>INDEX(tbl_Input[X],1)</f>
        <v>1</v>
      </c>
      <c r="C4" s="9">
        <f>INDEX(tbl_Input[Y],1)</f>
        <v>118</v>
      </c>
      <c r="D4" s="9">
        <f t="shared" ref="D4:D15" si="0">reg_a+reg_b*B4</f>
        <v>118.47435897435896</v>
      </c>
      <c r="E4" s="9">
        <f t="shared" ref="E4:E15" si="1">C4-D4</f>
        <v>-0.47435897435896379</v>
      </c>
      <c r="F4" s="10">
        <f t="shared" ref="F4:F15" si="2">IF(C4=0,"—",ABS(E4)/C4)</f>
        <v>4.0199913081268119E-3</v>
      </c>
    </row>
    <row r="5" spans="1:6">
      <c r="A5" s="8" t="str">
        <f>INDEX(tbl_Input[الفترة],2)</f>
        <v>الشهر 2</v>
      </c>
      <c r="B5" s="9">
        <f>INDEX(tbl_Input[X],2)</f>
        <v>2</v>
      </c>
      <c r="C5" s="9">
        <f>INDEX(tbl_Input[Y],2)</f>
        <v>125</v>
      </c>
      <c r="D5" s="9">
        <f t="shared" si="0"/>
        <v>124.78205128205127</v>
      </c>
      <c r="E5" s="9">
        <f t="shared" si="1"/>
        <v>0.21794871794872961</v>
      </c>
      <c r="F5" s="10">
        <f t="shared" si="2"/>
        <v>1.7435897435898369E-3</v>
      </c>
    </row>
    <row r="6" spans="1:6">
      <c r="A6" s="8" t="str">
        <f>INDEX(tbl_Input[الفترة],3)</f>
        <v>الشهر 3</v>
      </c>
      <c r="B6" s="9">
        <f>INDEX(tbl_Input[X],3)</f>
        <v>3</v>
      </c>
      <c r="C6" s="9">
        <f>INDEX(tbl_Input[Y],3)</f>
        <v>130</v>
      </c>
      <c r="D6" s="9">
        <f t="shared" si="0"/>
        <v>131.08974358974359</v>
      </c>
      <c r="E6" s="9">
        <f t="shared" si="1"/>
        <v>-1.0897435897435912</v>
      </c>
      <c r="F6" s="10">
        <f t="shared" si="2"/>
        <v>8.382642998027625E-3</v>
      </c>
    </row>
    <row r="7" spans="1:6">
      <c r="A7" s="8" t="str">
        <f>INDEX(tbl_Input[الفترة],4)</f>
        <v>الشهر 4</v>
      </c>
      <c r="B7" s="9">
        <f>INDEX(tbl_Input[X],4)</f>
        <v>4</v>
      </c>
      <c r="C7" s="9">
        <f>INDEX(tbl_Input[Y],4)</f>
        <v>142</v>
      </c>
      <c r="D7" s="9">
        <f t="shared" si="0"/>
        <v>137.39743589743588</v>
      </c>
      <c r="E7" s="9">
        <f t="shared" si="1"/>
        <v>4.6025641025641164</v>
      </c>
      <c r="F7" s="10">
        <f t="shared" si="2"/>
        <v>3.2412423257493779E-2</v>
      </c>
    </row>
    <row r="8" spans="1:6">
      <c r="A8" s="8" t="str">
        <f>INDEX(tbl_Input[الفترة],5)</f>
        <v>الشهر 5</v>
      </c>
      <c r="B8" s="9">
        <f>INDEX(tbl_Input[X],5)</f>
        <v>5</v>
      </c>
      <c r="C8" s="9">
        <f>INDEX(tbl_Input[Y],5)</f>
        <v>138</v>
      </c>
      <c r="D8" s="9">
        <f t="shared" si="0"/>
        <v>143.7051282051282</v>
      </c>
      <c r="E8" s="9">
        <f t="shared" si="1"/>
        <v>-5.7051282051282044</v>
      </c>
      <c r="F8" s="10">
        <f t="shared" si="2"/>
        <v>4.1341508732813073E-2</v>
      </c>
    </row>
    <row r="9" spans="1:6">
      <c r="A9" s="8" t="str">
        <f>INDEX(tbl_Input[الفترة],6)</f>
        <v>الشهر 6</v>
      </c>
      <c r="B9" s="9">
        <f>INDEX(tbl_Input[X],6)</f>
        <v>6</v>
      </c>
      <c r="C9" s="9">
        <f>INDEX(tbl_Input[Y],6)</f>
        <v>150</v>
      </c>
      <c r="D9" s="9">
        <f t="shared" si="0"/>
        <v>150.0128205128205</v>
      </c>
      <c r="E9" s="9">
        <f t="shared" si="1"/>
        <v>-1.2820512820496788E-2</v>
      </c>
      <c r="F9" s="10">
        <f t="shared" si="2"/>
        <v>8.5470085469978581E-5</v>
      </c>
    </row>
    <row r="10" spans="1:6">
      <c r="A10" s="8" t="str">
        <f>INDEX(tbl_Input[الفترة],7)</f>
        <v>الشهر 7</v>
      </c>
      <c r="B10" s="9">
        <f>INDEX(tbl_Input[X],7)</f>
        <v>7</v>
      </c>
      <c r="C10" s="9">
        <f>INDEX(tbl_Input[Y],7)</f>
        <v>162</v>
      </c>
      <c r="D10" s="9">
        <f t="shared" si="0"/>
        <v>156.32051282051282</v>
      </c>
      <c r="E10" s="9">
        <f t="shared" si="1"/>
        <v>5.6794871794871824</v>
      </c>
      <c r="F10" s="10">
        <f t="shared" si="2"/>
        <v>3.505856283634063E-2</v>
      </c>
    </row>
    <row r="11" spans="1:6">
      <c r="A11" s="8" t="str">
        <f>INDEX(tbl_Input[الفترة],8)</f>
        <v>الشهر 8</v>
      </c>
      <c r="B11" s="9">
        <f>INDEX(tbl_Input[X],8)</f>
        <v>8</v>
      </c>
      <c r="C11" s="9">
        <f>INDEX(tbl_Input[Y],8)</f>
        <v>158</v>
      </c>
      <c r="D11" s="9">
        <f t="shared" si="0"/>
        <v>162.62820512820511</v>
      </c>
      <c r="E11" s="9">
        <f t="shared" si="1"/>
        <v>-4.62820512820511</v>
      </c>
      <c r="F11" s="10">
        <f t="shared" si="2"/>
        <v>2.9292437520285507E-2</v>
      </c>
    </row>
    <row r="12" spans="1:6">
      <c r="A12" s="8" t="str">
        <f>INDEX(tbl_Input[الفترة],9)</f>
        <v>الشهر 9</v>
      </c>
      <c r="B12" s="9">
        <f>INDEX(tbl_Input[X],9)</f>
        <v>9</v>
      </c>
      <c r="C12" s="9">
        <f>INDEX(tbl_Input[Y],9)</f>
        <v>170</v>
      </c>
      <c r="D12" s="9">
        <f t="shared" si="0"/>
        <v>168.93589743589743</v>
      </c>
      <c r="E12" s="9">
        <f t="shared" si="1"/>
        <v>1.0641025641025692</v>
      </c>
      <c r="F12" s="10">
        <f t="shared" si="2"/>
        <v>6.2594268476621716E-3</v>
      </c>
    </row>
    <row r="13" spans="1:6">
      <c r="A13" s="8" t="str">
        <f>INDEX(tbl_Input[الفترة],10)</f>
        <v>الشهر 10</v>
      </c>
      <c r="B13" s="9">
        <f>INDEX(tbl_Input[X],10)</f>
        <v>10</v>
      </c>
      <c r="C13" s="9">
        <f>INDEX(tbl_Input[Y],10)</f>
        <v>180</v>
      </c>
      <c r="D13" s="9">
        <f t="shared" si="0"/>
        <v>175.24358974358972</v>
      </c>
      <c r="E13" s="9">
        <f t="shared" si="1"/>
        <v>4.7564102564102768</v>
      </c>
      <c r="F13" s="10">
        <f t="shared" si="2"/>
        <v>2.6424501424501538E-2</v>
      </c>
    </row>
    <row r="14" spans="1:6">
      <c r="A14" s="8" t="str">
        <f>INDEX(tbl_Input[الفترة],11)</f>
        <v>الشهر 11</v>
      </c>
      <c r="B14" s="9">
        <f>INDEX(tbl_Input[X],11)</f>
        <v>11</v>
      </c>
      <c r="C14" s="9">
        <f>INDEX(tbl_Input[Y],11)</f>
        <v>175</v>
      </c>
      <c r="D14" s="9">
        <f t="shared" si="0"/>
        <v>181.55128205128204</v>
      </c>
      <c r="E14" s="9">
        <f t="shared" si="1"/>
        <v>-6.551282051282044</v>
      </c>
      <c r="F14" s="10">
        <f t="shared" si="2"/>
        <v>3.7435897435897397E-2</v>
      </c>
    </row>
    <row r="15" spans="1:6">
      <c r="A15" s="8" t="str">
        <f>INDEX(tbl_Input[الفترة],12)</f>
        <v>الشهر 12</v>
      </c>
      <c r="B15" s="9">
        <f>INDEX(tbl_Input[X],12)</f>
        <v>12</v>
      </c>
      <c r="C15" s="9">
        <f>INDEX(tbl_Input[Y],12)</f>
        <v>190</v>
      </c>
      <c r="D15" s="9">
        <f t="shared" si="0"/>
        <v>187.85897435897436</v>
      </c>
      <c r="E15" s="9">
        <f t="shared" si="1"/>
        <v>2.1410256410256352</v>
      </c>
      <c r="F15" s="10">
        <f t="shared" si="2"/>
        <v>1.126855600539808E-2</v>
      </c>
    </row>
    <row r="17" spans="1:6" ht="26">
      <c r="A17" s="22" t="s">
        <v>126</v>
      </c>
      <c r="B17" s="16">
        <f>SUMPRODUCT(ABS(E4:E15))/COUNT(E4:E15)</f>
        <v>3.0769230769230766</v>
      </c>
    </row>
    <row r="18" spans="1:6" ht="26">
      <c r="A18" s="22" t="s">
        <v>127</v>
      </c>
      <c r="B18" s="17">
        <f>AVERAGE(F4:F15)</f>
        <v>1.9477084016300536E-2</v>
      </c>
    </row>
    <row r="20" spans="1:6" ht="19.5" customHeight="1">
      <c r="A20" s="33" t="s">
        <v>128</v>
      </c>
      <c r="B20" s="33"/>
      <c r="C20" s="33"/>
      <c r="D20" s="33"/>
      <c r="E20" s="33"/>
      <c r="F20" s="33"/>
    </row>
  </sheetData>
  <mergeCells count="2">
    <mergeCell ref="A1:F1"/>
    <mergeCell ref="A20:F2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"/>
  <sheetViews>
    <sheetView showGridLines="0" rightToLeft="1" tabSelected="1" zoomScaleNormal="100" workbookViewId="0">
      <selection activeCell="J15" sqref="J15"/>
    </sheetView>
  </sheetViews>
  <sheetFormatPr defaultColWidth="8.6328125" defaultRowHeight="14.5"/>
  <cols>
    <col min="1" max="1" width="34" customWidth="1"/>
    <col min="2" max="2" width="14" customWidth="1"/>
    <col min="3" max="3" width="30" customWidth="1"/>
    <col min="4" max="4" width="6.81640625" customWidth="1"/>
    <col min="5" max="5" width="14" customWidth="1"/>
    <col min="6" max="7" width="12" customWidth="1"/>
    <col min="8" max="8" width="14" customWidth="1"/>
  </cols>
  <sheetData>
    <row r="1" spans="1:8" ht="30" customHeight="1">
      <c r="A1" s="36" t="s">
        <v>129</v>
      </c>
      <c r="B1" s="36"/>
      <c r="C1" s="36"/>
      <c r="D1" s="36"/>
      <c r="E1" s="36"/>
      <c r="F1" s="36"/>
      <c r="G1" s="36"/>
      <c r="H1" s="36"/>
    </row>
    <row r="3" spans="1:8">
      <c r="A3" s="3" t="s">
        <v>26</v>
      </c>
      <c r="B3" s="23">
        <f>COUNT(tbl_Input[X])</f>
        <v>12</v>
      </c>
      <c r="C3" s="11" t="str">
        <f>IF(B3&lt;min_n,"⚠ أقل من الحد الأدنى الموصى به ("&amp;min_n&amp;")","✅ كافٍ")</f>
        <v>✅ كافٍ</v>
      </c>
    </row>
    <row r="4" spans="1:8">
      <c r="A4" s="3" t="s">
        <v>130</v>
      </c>
      <c r="B4" s="23">
        <f>COUNTBLANK(tbl_Input[X])</f>
        <v>0</v>
      </c>
      <c r="C4" s="26" t="str">
        <f>IF(B4&gt;0,"⚠ توجد خلايا فارغة","✅ لا توجد خلايا فارغة")</f>
        <v>✅ لا توجد خلايا فارغة</v>
      </c>
    </row>
    <row r="5" spans="1:8">
      <c r="A5" s="3" t="s">
        <v>131</v>
      </c>
      <c r="B5" s="23">
        <f>COUNTBLANK(tbl_Input[Y])</f>
        <v>0</v>
      </c>
      <c r="C5" s="26" t="str">
        <f>IF(B5&gt;0,"⚠ توجد خلايا فارغة","✅ لا توجد خلايا فارغة")</f>
        <v>✅ لا توجد خلايا فارغة</v>
      </c>
    </row>
    <row r="6" spans="1:8">
      <c r="A6" s="3" t="s">
        <v>132</v>
      </c>
      <c r="B6" s="23">
        <f>SUMPRODUCT(--NOT(ISNUMBER(tbl_Input[X])))</f>
        <v>0</v>
      </c>
      <c r="C6" s="26" t="str">
        <f>IF(B6&gt;0,"⚠ توجد قيم غير رقمية","✅ جميع القيم رقمية")</f>
        <v>✅ جميع القيم رقمية</v>
      </c>
    </row>
    <row r="7" spans="1:8">
      <c r="A7" s="3" t="s">
        <v>133</v>
      </c>
      <c r="B7" s="23">
        <f>SUMPRODUCT(--NOT(ISNUMBER(tbl_Input[Y])))</f>
        <v>0</v>
      </c>
      <c r="C7" s="26" t="str">
        <f>IF(B7&gt;0,"⚠ توجد قيم غير رقمية","✅ جميع القيم رقمية")</f>
        <v>✅ جميع القيم رقمية</v>
      </c>
    </row>
    <row r="8" spans="1:8">
      <c r="A8" s="3" t="s">
        <v>134</v>
      </c>
      <c r="B8" s="24">
        <f>STDEV(tbl_Input[X])</f>
        <v>3.6055512754639891</v>
      </c>
      <c r="C8" s="26" t="str">
        <f>IF(B8=0,"⚠ لا يوجد تباين - لا يمكن إجراء التحليل","✅ يوجد تباين")</f>
        <v>✅ يوجد تباين</v>
      </c>
    </row>
    <row r="9" spans="1:8">
      <c r="A9" s="3" t="s">
        <v>135</v>
      </c>
      <c r="B9" s="24">
        <f>STDEV(tbl_Input[Y])</f>
        <v>23.099914731575577</v>
      </c>
      <c r="C9" s="26" t="str">
        <f>IF(B9=0,"⚠ لا يوجد تباين - لا يمكن إجراء التحليل","✅ يوجد تباين")</f>
        <v>✅ يوجد تباين</v>
      </c>
    </row>
    <row r="10" spans="1:8">
      <c r="A10" s="3" t="s">
        <v>136</v>
      </c>
      <c r="B10" s="23">
        <f>SUMPRODUCT(--(ABS((tbl_Input[Y]-AVERAGE(tbl_Input[Y]))/STDEV(tbl_Input[Y]))&gt;2))</f>
        <v>0</v>
      </c>
      <c r="C10" s="26" t="str">
        <f>IF(B10&gt;0,"⚠ تحقق من القيم الشاذة يدويًا","✅ لا توجد قيم شاذة ظاهرة")</f>
        <v>✅ لا توجد قيم شاذة ظاهرة</v>
      </c>
    </row>
    <row r="11" spans="1:8">
      <c r="B11" s="25"/>
    </row>
    <row r="12" spans="1:8" ht="24" customHeight="1">
      <c r="A12" s="3" t="s">
        <v>137</v>
      </c>
      <c r="B12" s="7"/>
      <c r="C12" s="27" t="str">
        <f>IF(OR(B3&lt;min_n,B4&gt;0,B5&gt;0,B6&gt;0,B7&gt;0,B8=0,B9=0),"❌ لا يمكن الاعتماد على النموذج قبل مراجعة جودة البيانات","✅ البيانات جاهزة للاعتماد عليها في التحليل")</f>
        <v>✅ البيانات جاهزة للاعتماد عليها في التحليل</v>
      </c>
    </row>
    <row r="14" spans="1:8" ht="19.5" customHeight="1">
      <c r="A14" s="33" t="s">
        <v>138</v>
      </c>
      <c r="B14" s="33"/>
      <c r="C14" s="33"/>
      <c r="D14" s="33"/>
      <c r="E14" s="33"/>
      <c r="F14" s="33"/>
      <c r="G14" s="33"/>
      <c r="H14" s="33"/>
    </row>
    <row r="15" spans="1:8" ht="26">
      <c r="A15" s="4" t="s">
        <v>57</v>
      </c>
      <c r="B15" s="4" t="s">
        <v>58</v>
      </c>
      <c r="C15" s="4" t="s">
        <v>59</v>
      </c>
      <c r="D15" s="4" t="s">
        <v>139</v>
      </c>
      <c r="E15" s="4" t="s">
        <v>140</v>
      </c>
    </row>
    <row r="16" spans="1:8">
      <c r="A16" s="8" t="str">
        <f>INDEX(tbl_Input[الفترة],1)</f>
        <v>الشهر 1</v>
      </c>
      <c r="B16" s="9">
        <f>INDEX(tbl_Input[X],1)</f>
        <v>1</v>
      </c>
      <c r="C16" s="9">
        <f>INDEX(tbl_Input[Y],1)</f>
        <v>118</v>
      </c>
      <c r="D16" s="9">
        <f>(C16-AVERAGE(tbl_Input[Y]))/STDEV(tbl_Input[Y])</f>
        <v>-1.5223721418588996</v>
      </c>
      <c r="E16" s="8" t="str">
        <f t="shared" ref="E16:E27" si="0">IF(ABS(D16)&gt;2,"⚠ قيمة قد تكون شاذة","طبيعية")</f>
        <v>طبيعية</v>
      </c>
    </row>
    <row r="17" spans="1:5">
      <c r="A17" s="8" t="str">
        <f>INDEX(tbl_Input[الفترة],2)</f>
        <v>الشهر 2</v>
      </c>
      <c r="B17" s="9">
        <f>INDEX(tbl_Input[X],2)</f>
        <v>2</v>
      </c>
      <c r="C17" s="9">
        <f>INDEX(tbl_Input[Y],2)</f>
        <v>125</v>
      </c>
      <c r="D17" s="9">
        <f>(C17-AVERAGE(tbl_Input[Y]))/STDEV(tbl_Input[Y])</f>
        <v>-1.219340720256654</v>
      </c>
      <c r="E17" s="8" t="str">
        <f t="shared" si="0"/>
        <v>طبيعية</v>
      </c>
    </row>
    <row r="18" spans="1:5">
      <c r="A18" s="8" t="str">
        <f>INDEX(tbl_Input[الفترة],3)</f>
        <v>الشهر 3</v>
      </c>
      <c r="B18" s="9">
        <f>INDEX(tbl_Input[X],3)</f>
        <v>3</v>
      </c>
      <c r="C18" s="9">
        <f>INDEX(tbl_Input[Y],3)</f>
        <v>130</v>
      </c>
      <c r="D18" s="9">
        <f>(C18-AVERAGE(tbl_Input[Y]))/STDEV(tbl_Input[Y])</f>
        <v>-1.0028897048264787</v>
      </c>
      <c r="E18" s="8" t="str">
        <f t="shared" si="0"/>
        <v>طبيعية</v>
      </c>
    </row>
    <row r="19" spans="1:5">
      <c r="A19" s="8" t="str">
        <f>INDEX(tbl_Input[الفترة],4)</f>
        <v>الشهر 4</v>
      </c>
      <c r="B19" s="9">
        <f>INDEX(tbl_Input[X],4)</f>
        <v>4</v>
      </c>
      <c r="C19" s="9">
        <f>INDEX(tbl_Input[Y],4)</f>
        <v>142</v>
      </c>
      <c r="D19" s="9">
        <f>(C19-AVERAGE(tbl_Input[Y]))/STDEV(tbl_Input[Y])</f>
        <v>-0.48340726779405785</v>
      </c>
      <c r="E19" s="8" t="str">
        <f t="shared" si="0"/>
        <v>طبيعية</v>
      </c>
    </row>
    <row r="20" spans="1:5">
      <c r="A20" s="8" t="str">
        <f>INDEX(tbl_Input[الفترة],5)</f>
        <v>الشهر 5</v>
      </c>
      <c r="B20" s="9">
        <f>INDEX(tbl_Input[X],5)</f>
        <v>5</v>
      </c>
      <c r="C20" s="9">
        <f>INDEX(tbl_Input[Y],5)</f>
        <v>138</v>
      </c>
      <c r="D20" s="9">
        <f>(C20-AVERAGE(tbl_Input[Y]))/STDEV(tbl_Input[Y])</f>
        <v>-0.65656808013819812</v>
      </c>
      <c r="E20" s="8" t="str">
        <f t="shared" si="0"/>
        <v>طبيعية</v>
      </c>
    </row>
    <row r="21" spans="1:5">
      <c r="A21" s="8" t="str">
        <f>INDEX(tbl_Input[الفترة],6)</f>
        <v>الشهر 6</v>
      </c>
      <c r="B21" s="9">
        <f>INDEX(tbl_Input[X],6)</f>
        <v>6</v>
      </c>
      <c r="C21" s="9">
        <f>INDEX(tbl_Input[Y],6)</f>
        <v>150</v>
      </c>
      <c r="D21" s="9">
        <f>(C21-AVERAGE(tbl_Input[Y]))/STDEV(tbl_Input[Y])</f>
        <v>-0.13708564310577731</v>
      </c>
      <c r="E21" s="8" t="str">
        <f t="shared" si="0"/>
        <v>طبيعية</v>
      </c>
    </row>
    <row r="22" spans="1:5">
      <c r="A22" s="8" t="str">
        <f>INDEX(tbl_Input[الفترة],7)</f>
        <v>الشهر 7</v>
      </c>
      <c r="B22" s="9">
        <f>INDEX(tbl_Input[X],7)</f>
        <v>7</v>
      </c>
      <c r="C22" s="9">
        <f>INDEX(tbl_Input[Y],7)</f>
        <v>162</v>
      </c>
      <c r="D22" s="9">
        <f>(C22-AVERAGE(tbl_Input[Y]))/STDEV(tbl_Input[Y])</f>
        <v>0.3823967939266435</v>
      </c>
      <c r="E22" s="8" t="str">
        <f t="shared" si="0"/>
        <v>طبيعية</v>
      </c>
    </row>
    <row r="23" spans="1:5">
      <c r="A23" s="8" t="str">
        <f>INDEX(tbl_Input[الفترة],8)</f>
        <v>الشهر 8</v>
      </c>
      <c r="B23" s="9">
        <f>INDEX(tbl_Input[X],8)</f>
        <v>8</v>
      </c>
      <c r="C23" s="9">
        <f>INDEX(tbl_Input[Y],8)</f>
        <v>158</v>
      </c>
      <c r="D23" s="9">
        <f>(C23-AVERAGE(tbl_Input[Y]))/STDEV(tbl_Input[Y])</f>
        <v>0.20923598158250326</v>
      </c>
      <c r="E23" s="8" t="str">
        <f t="shared" si="0"/>
        <v>طبيعية</v>
      </c>
    </row>
    <row r="24" spans="1:5">
      <c r="A24" s="8" t="str">
        <f>INDEX(tbl_Input[الفترة],9)</f>
        <v>الشهر 9</v>
      </c>
      <c r="B24" s="9">
        <f>INDEX(tbl_Input[X],9)</f>
        <v>9</v>
      </c>
      <c r="C24" s="9">
        <f>INDEX(tbl_Input[Y],9)</f>
        <v>170</v>
      </c>
      <c r="D24" s="9">
        <f>(C24-AVERAGE(tbl_Input[Y]))/STDEV(tbl_Input[Y])</f>
        <v>0.72871841861492404</v>
      </c>
      <c r="E24" s="8" t="str">
        <f t="shared" si="0"/>
        <v>طبيعية</v>
      </c>
    </row>
    <row r="25" spans="1:5">
      <c r="A25" s="8" t="str">
        <f>INDEX(tbl_Input[الفترة],10)</f>
        <v>الشهر 10</v>
      </c>
      <c r="B25" s="9">
        <f>INDEX(tbl_Input[X],10)</f>
        <v>10</v>
      </c>
      <c r="C25" s="9">
        <f>INDEX(tbl_Input[Y],10)</f>
        <v>180</v>
      </c>
      <c r="D25" s="9">
        <f>(C25-AVERAGE(tbl_Input[Y]))/STDEV(tbl_Input[Y])</f>
        <v>1.1616204494752747</v>
      </c>
      <c r="E25" s="8" t="str">
        <f t="shared" si="0"/>
        <v>طبيعية</v>
      </c>
    </row>
    <row r="26" spans="1:5">
      <c r="A26" s="8" t="str">
        <f>INDEX(tbl_Input[الفترة],11)</f>
        <v>الشهر 11</v>
      </c>
      <c r="B26" s="9">
        <f>INDEX(tbl_Input[X],11)</f>
        <v>11</v>
      </c>
      <c r="C26" s="9">
        <f>INDEX(tbl_Input[Y],11)</f>
        <v>175</v>
      </c>
      <c r="D26" s="9">
        <f>(C26-AVERAGE(tbl_Input[Y]))/STDEV(tbl_Input[Y])</f>
        <v>0.94516943404509945</v>
      </c>
      <c r="E26" s="8" t="str">
        <f t="shared" si="0"/>
        <v>طبيعية</v>
      </c>
    </row>
    <row r="27" spans="1:5">
      <c r="A27" s="8" t="str">
        <f>INDEX(tbl_Input[الفترة],12)</f>
        <v>الشهر 12</v>
      </c>
      <c r="B27" s="9">
        <f>INDEX(tbl_Input[X],12)</f>
        <v>12</v>
      </c>
      <c r="C27" s="9">
        <f>INDEX(tbl_Input[Y],12)</f>
        <v>190</v>
      </c>
      <c r="D27" s="9">
        <f>(C27-AVERAGE(tbl_Input[Y]))/STDEV(tbl_Input[Y])</f>
        <v>1.5945224803356255</v>
      </c>
      <c r="E27" s="8" t="str">
        <f t="shared" si="0"/>
        <v>طبيعية</v>
      </c>
    </row>
  </sheetData>
  <mergeCells count="2">
    <mergeCell ref="A1:H1"/>
    <mergeCell ref="A14:H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19</vt:i4>
      </vt:variant>
    </vt:vector>
  </HeadingPairs>
  <TitlesOfParts>
    <vt:vector size="30" baseType="lpstr">
      <vt:lpstr>دليل_الاستخدام</vt:lpstr>
      <vt:lpstr>لوحة_القيادة</vt:lpstr>
      <vt:lpstr>بيانات_الإدخال</vt:lpstr>
      <vt:lpstr>التحليل_الوصفي</vt:lpstr>
      <vt:lpstr>تحليل_العلاقة</vt:lpstr>
      <vt:lpstr>النموذج_والدلالة</vt:lpstr>
      <vt:lpstr>التنبؤ_المستقبلي</vt:lpstr>
      <vt:lpstr>الفعلي_مقابل_المتوقع</vt:lpstr>
      <vt:lpstr>جودة_البيانات</vt:lpstr>
      <vt:lpstr>الإعدادات</vt:lpstr>
      <vt:lpstr>_ChartData</vt:lpstr>
      <vt:lpstr>alpha</vt:lpstr>
      <vt:lpstr>dq_status</vt:lpstr>
      <vt:lpstr>fc_next</vt:lpstr>
      <vt:lpstr>mae</vt:lpstr>
      <vt:lpstr>mape</vt:lpstr>
      <vt:lpstr>min_n</vt:lpstr>
      <vt:lpstr>r_high</vt:lpstr>
      <vt:lpstr>r_low</vt:lpstr>
      <vt:lpstr>reg_a</vt:lpstr>
      <vt:lpstr>reg_b</vt:lpstr>
      <vt:lpstr>reg_df</vt:lpstr>
      <vt:lpstr>reg_eq</vt:lpstr>
      <vt:lpstr>reg_n</vt:lpstr>
      <vt:lpstr>reg_p</vt:lpstr>
      <vt:lpstr>reg_r2</vt:lpstr>
      <vt:lpstr>reg_se</vt:lpstr>
      <vt:lpstr>reg_seb</vt:lpstr>
      <vt:lpstr>reg_t</vt:lpstr>
      <vt:lpstr>rel_r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أداة الدقة التنبؤية في قيادة الجودة</dc:title>
  <dc:subject>الانتقال من مقارنة الماضي إلى التنبؤ بالمستقبل باستخدام الانحدار الخطي البسيط</dc:subject>
  <dc:creator>Imtithal | إمتثال</dc:creator>
  <dc:description/>
  <cp:lastModifiedBy>Yass4479 Baset</cp:lastModifiedBy>
  <cp:revision>1</cp:revision>
  <dcterms:created xsi:type="dcterms:W3CDTF">2026-09-08T08:44:16Z</dcterms:created>
  <dcterms:modified xsi:type="dcterms:W3CDTF">2026-09-08T09:46:14Z</dcterms:modified>
  <cp:category>Quality Management / Predictive Analytics</cp:category>
  <dc:language>en-US</dc:language>
</cp:coreProperties>
</file>